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alabekova_M\Desktop\ГОР ДУМА\VII СОЗЫВ\РЕШЕНИЯ\11 сессия\Проекты-беловики\1. Об исполнении бюджета МО за 2019г\"/>
    </mc:Choice>
  </mc:AlternateContent>
  <bookViews>
    <workbookView xWindow="0" yWindow="0" windowWidth="28755" windowHeight="11940" tabRatio="924" activeTab="3"/>
  </bookViews>
  <sheets>
    <sheet name="ДОХОДЫ АДМ" sheetId="35" r:id="rId1"/>
    <sheet name=" Ведомственная 2019   " sheetId="33" r:id="rId2"/>
    <sheet name="Расходы 2019" sheetId="21" r:id="rId3"/>
    <sheet name="Источники АДМ" sheetId="36" r:id="rId4"/>
  </sheets>
  <definedNames>
    <definedName name="_xlnm._FilterDatabase" localSheetId="1" hidden="1">' Ведомственная 2019   '!$A$8:$I$1014</definedName>
    <definedName name="_xlnm._FilterDatabase" localSheetId="2" hidden="1">'Расходы 2019'!$A$7:$F$805</definedName>
    <definedName name="_xlnm.Print_Titles" localSheetId="1">' Ведомственная 2019   '!$8:$8</definedName>
    <definedName name="_xlnm.Print_Titles" localSheetId="2">'Расходы 2019'!$7:$7</definedName>
    <definedName name="_xlnm.Print_Area" localSheetId="1">' Ведомственная 2019   '!$A$1:$I$1016</definedName>
    <definedName name="_xlnm.Print_Area" localSheetId="2">'Расходы 2019'!$A$1:$H$809</definedName>
  </definedNames>
  <calcPr calcId="152511"/>
  <fileRecoveryPr autoRecover="0"/>
</workbook>
</file>

<file path=xl/calcChain.xml><?xml version="1.0" encoding="utf-8"?>
<calcChain xmlns="http://schemas.openxmlformats.org/spreadsheetml/2006/main">
  <c r="D135" i="35" l="1"/>
  <c r="D131" i="35"/>
  <c r="D128" i="35"/>
  <c r="D122" i="35"/>
  <c r="D99" i="35"/>
  <c r="D97" i="35"/>
  <c r="D89" i="35"/>
  <c r="D86" i="35"/>
  <c r="D83" i="35"/>
  <c r="D81" i="35"/>
  <c r="D73" i="35"/>
  <c r="D52" i="35"/>
  <c r="D50" i="35"/>
  <c r="D48" i="35"/>
  <c r="D45" i="35"/>
  <c r="D42" i="35"/>
  <c r="D40" i="35"/>
  <c r="D35" i="35"/>
  <c r="D32" i="35"/>
  <c r="D27" i="35"/>
  <c r="D25" i="35"/>
  <c r="D22" i="35"/>
  <c r="D19" i="35"/>
  <c r="D17" i="35"/>
  <c r="D12" i="35"/>
  <c r="D137" i="35" s="1"/>
  <c r="E32" i="36" l="1"/>
  <c r="G688" i="21"/>
  <c r="G687" i="21" s="1"/>
  <c r="F688" i="21"/>
  <c r="H710" i="33"/>
  <c r="H466" i="33"/>
  <c r="H465" i="33" s="1"/>
  <c r="I486" i="33"/>
  <c r="G686" i="21" l="1"/>
  <c r="E35" i="36"/>
  <c r="E34" i="36" s="1"/>
  <c r="E33" i="36" s="1"/>
  <c r="D35" i="36"/>
  <c r="D34" i="36" s="1"/>
  <c r="D33" i="36" s="1"/>
  <c r="E31" i="36"/>
  <c r="E30" i="36" s="1"/>
  <c r="E29" i="36" s="1"/>
  <c r="D31" i="36"/>
  <c r="D30" i="36" s="1"/>
  <c r="D29" i="36" s="1"/>
  <c r="E25" i="36"/>
  <c r="E24" i="36" s="1"/>
  <c r="E23" i="36" s="1"/>
  <c r="D25" i="36"/>
  <c r="D24" i="36" s="1"/>
  <c r="D23" i="36" s="1"/>
  <c r="E20" i="36"/>
  <c r="D20" i="36"/>
  <c r="E18" i="36"/>
  <c r="D18" i="36"/>
  <c r="E15" i="36"/>
  <c r="D15" i="36"/>
  <c r="E13" i="36"/>
  <c r="D13" i="36"/>
  <c r="D12" i="36" s="1"/>
  <c r="D17" i="36" l="1"/>
  <c r="E12" i="36"/>
  <c r="E17" i="36"/>
  <c r="D28" i="36"/>
  <c r="D11" i="36" s="1"/>
  <c r="E28" i="36"/>
  <c r="E11" i="36" s="1"/>
  <c r="H689" i="21" l="1"/>
  <c r="F687" i="21"/>
  <c r="F686" i="21" l="1"/>
  <c r="H686" i="21" s="1"/>
  <c r="H687" i="21"/>
  <c r="H688" i="21"/>
  <c r="G804" i="21"/>
  <c r="G803" i="21" s="1"/>
  <c r="G802" i="21" s="1"/>
  <c r="G801" i="21" s="1"/>
  <c r="G800" i="21" s="1"/>
  <c r="G408" i="21"/>
  <c r="G407" i="21" s="1"/>
  <c r="G411" i="21"/>
  <c r="G410" i="21" s="1"/>
  <c r="G416" i="21"/>
  <c r="G418" i="21"/>
  <c r="G421" i="21"/>
  <c r="G420" i="21" s="1"/>
  <c r="G424" i="21"/>
  <c r="G423" i="21" s="1"/>
  <c r="G428" i="21"/>
  <c r="G427" i="21" s="1"/>
  <c r="G431" i="21"/>
  <c r="G430" i="21" s="1"/>
  <c r="G434" i="21"/>
  <c r="G433" i="21" s="1"/>
  <c r="G437" i="21"/>
  <c r="G436" i="21" s="1"/>
  <c r="G441" i="21"/>
  <c r="G440" i="21" s="1"/>
  <c r="G444" i="21"/>
  <c r="G443" i="21" s="1"/>
  <c r="G451" i="21"/>
  <c r="G450" i="21" s="1"/>
  <c r="G454" i="21"/>
  <c r="G456" i="21"/>
  <c r="G463" i="21"/>
  <c r="G462" i="21" s="1"/>
  <c r="G466" i="21"/>
  <c r="G468" i="21"/>
  <c r="G472" i="21"/>
  <c r="G474" i="21"/>
  <c r="G476" i="21"/>
  <c r="G482" i="21"/>
  <c r="G481" i="21" s="1"/>
  <c r="G485" i="21"/>
  <c r="G487" i="21"/>
  <c r="G490" i="21"/>
  <c r="G489" i="21" s="1"/>
  <c r="G496" i="21"/>
  <c r="G495" i="21" s="1"/>
  <c r="G494" i="21" s="1"/>
  <c r="G493" i="21" s="1"/>
  <c r="G492" i="21" s="1"/>
  <c r="G503" i="21"/>
  <c r="G502" i="21" s="1"/>
  <c r="G507" i="21"/>
  <c r="G506" i="21" s="1"/>
  <c r="G511" i="21"/>
  <c r="G510" i="21" s="1"/>
  <c r="G515" i="21"/>
  <c r="G514" i="21" s="1"/>
  <c r="G513" i="21" s="1"/>
  <c r="G521" i="21"/>
  <c r="G520" i="21" s="1"/>
  <c r="G525" i="21"/>
  <c r="G524" i="21" s="1"/>
  <c r="G530" i="21"/>
  <c r="G529" i="21" s="1"/>
  <c r="G528" i="21" s="1"/>
  <c r="G537" i="21"/>
  <c r="G536" i="21" s="1"/>
  <c r="G541" i="21"/>
  <c r="G540" i="21" s="1"/>
  <c r="G547" i="21"/>
  <c r="G546" i="21" s="1"/>
  <c r="G545" i="21" s="1"/>
  <c r="G544" i="21" s="1"/>
  <c r="G543" i="21" s="1"/>
  <c r="G551" i="21"/>
  <c r="G550" i="21" s="1"/>
  <c r="G549" i="21" s="1"/>
  <c r="G557" i="21"/>
  <c r="G556" i="21" s="1"/>
  <c r="G555" i="21" s="1"/>
  <c r="G554" i="21" s="1"/>
  <c r="G553" i="21" s="1"/>
  <c r="G563" i="21"/>
  <c r="G562" i="21" s="1"/>
  <c r="G566" i="21"/>
  <c r="G565" i="21" s="1"/>
  <c r="G569" i="21"/>
  <c r="G568" i="21" s="1"/>
  <c r="G574" i="21"/>
  <c r="G573" i="21" s="1"/>
  <c r="G572" i="21" s="1"/>
  <c r="G571" i="21" s="1"/>
  <c r="G579" i="21"/>
  <c r="G581" i="21"/>
  <c r="G587" i="21"/>
  <c r="G586" i="21" s="1"/>
  <c r="G591" i="21"/>
  <c r="G590" i="21" s="1"/>
  <c r="G597" i="21"/>
  <c r="G599" i="21"/>
  <c r="G601" i="21"/>
  <c r="G604" i="21"/>
  <c r="G606" i="21"/>
  <c r="G609" i="21"/>
  <c r="G611" i="21"/>
  <c r="G613" i="21"/>
  <c r="G619" i="21"/>
  <c r="G618" i="21" s="1"/>
  <c r="G622" i="21"/>
  <c r="G624" i="21"/>
  <c r="G628" i="21"/>
  <c r="G627" i="21" s="1"/>
  <c r="G631" i="21"/>
  <c r="G630" i="21" s="1"/>
  <c r="G634" i="21"/>
  <c r="G633" i="21" s="1"/>
  <c r="G637" i="21"/>
  <c r="G636" i="21" s="1"/>
  <c r="G642" i="21"/>
  <c r="G641" i="21" s="1"/>
  <c r="G640" i="21" s="1"/>
  <c r="G639" i="21" s="1"/>
  <c r="G650" i="21"/>
  <c r="G649" i="21" s="1"/>
  <c r="G648" i="21" s="1"/>
  <c r="G653" i="21"/>
  <c r="G652" i="21" s="1"/>
  <c r="G657" i="21"/>
  <c r="G656" i="21" s="1"/>
  <c r="G655" i="21" s="1"/>
  <c r="G660" i="21"/>
  <c r="G659" i="21" s="1"/>
  <c r="G663" i="21"/>
  <c r="G662" i="21" s="1"/>
  <c r="G669" i="21"/>
  <c r="G668" i="21" s="1"/>
  <c r="G672" i="21"/>
  <c r="G671" i="21" s="1"/>
  <c r="G675" i="21"/>
  <c r="G674" i="21" s="1"/>
  <c r="G678" i="21"/>
  <c r="G677" i="21" s="1"/>
  <c r="G681" i="21"/>
  <c r="G680" i="21" s="1"/>
  <c r="G684" i="21"/>
  <c r="G683" i="21" s="1"/>
  <c r="G694" i="21"/>
  <c r="G693" i="21" s="1"/>
  <c r="G697" i="21"/>
  <c r="G699" i="21"/>
  <c r="G703" i="21"/>
  <c r="G702" i="21" s="1"/>
  <c r="G701" i="21" s="1"/>
  <c r="G708" i="21"/>
  <c r="G707" i="21" s="1"/>
  <c r="G706" i="21" s="1"/>
  <c r="G705" i="21" s="1"/>
  <c r="G715" i="21"/>
  <c r="G714" i="21" s="1"/>
  <c r="G713" i="21" s="1"/>
  <c r="G712" i="21" s="1"/>
  <c r="G711" i="21" s="1"/>
  <c r="G720" i="21"/>
  <c r="G719" i="21" s="1"/>
  <c r="G718" i="21" s="1"/>
  <c r="G725" i="21"/>
  <c r="G724" i="21" s="1"/>
  <c r="G729" i="21"/>
  <c r="G728" i="21" s="1"/>
  <c r="G734" i="21"/>
  <c r="G733" i="21" s="1"/>
  <c r="G737" i="21"/>
  <c r="G736" i="21" s="1"/>
  <c r="G740" i="21"/>
  <c r="G742" i="21"/>
  <c r="G744" i="21"/>
  <c r="G750" i="21"/>
  <c r="G749" i="21" s="1"/>
  <c r="G748" i="21" s="1"/>
  <c r="G747" i="21" s="1"/>
  <c r="G746" i="21" s="1"/>
  <c r="G757" i="21"/>
  <c r="G756" i="21" s="1"/>
  <c r="G755" i="21" s="1"/>
  <c r="G754" i="21" s="1"/>
  <c r="G753" i="21" s="1"/>
  <c r="G762" i="21"/>
  <c r="G761" i="21" s="1"/>
  <c r="G765" i="21"/>
  <c r="G764" i="21" s="1"/>
  <c r="G772" i="21"/>
  <c r="G771" i="21" s="1"/>
  <c r="G770" i="21" s="1"/>
  <c r="G775" i="21"/>
  <c r="G777" i="21"/>
  <c r="G782" i="21"/>
  <c r="G781" i="21" s="1"/>
  <c r="G780" i="21" s="1"/>
  <c r="G779" i="21" s="1"/>
  <c r="G789" i="21"/>
  <c r="G791" i="21"/>
  <c r="G793" i="21"/>
  <c r="G798" i="21"/>
  <c r="G797" i="21" s="1"/>
  <c r="G796" i="21" s="1"/>
  <c r="G795" i="21" s="1"/>
  <c r="G405" i="21"/>
  <c r="G404" i="21" s="1"/>
  <c r="G402" i="21"/>
  <c r="G401" i="21" s="1"/>
  <c r="G399" i="21"/>
  <c r="G398" i="21" s="1"/>
  <c r="G396" i="21"/>
  <c r="G395" i="21" s="1"/>
  <c r="G393" i="21"/>
  <c r="G392" i="21" s="1"/>
  <c r="G390" i="21"/>
  <c r="G389" i="21" s="1"/>
  <c r="G387" i="21"/>
  <c r="G386" i="21" s="1"/>
  <c r="G382" i="21"/>
  <c r="G381" i="21" s="1"/>
  <c r="G379" i="21"/>
  <c r="G378" i="21" s="1"/>
  <c r="G376" i="21"/>
  <c r="G375" i="21" s="1"/>
  <c r="G373" i="21"/>
  <c r="G372" i="21" s="1"/>
  <c r="G369" i="21"/>
  <c r="G368" i="21" s="1"/>
  <c r="G366" i="21"/>
  <c r="G364" i="21"/>
  <c r="G360" i="21"/>
  <c r="G359" i="21" s="1"/>
  <c r="G357" i="21"/>
  <c r="G356" i="21" s="1"/>
  <c r="G350" i="21"/>
  <c r="G349" i="21" s="1"/>
  <c r="G347" i="21"/>
  <c r="G346" i="21" s="1"/>
  <c r="G344" i="21"/>
  <c r="G343" i="21" s="1"/>
  <c r="G341" i="21"/>
  <c r="G340" i="21" s="1"/>
  <c r="G338" i="21"/>
  <c r="G337" i="21" s="1"/>
  <c r="G334" i="21"/>
  <c r="G333" i="21" s="1"/>
  <c r="G331" i="21"/>
  <c r="G330" i="21" s="1"/>
  <c r="G327" i="21"/>
  <c r="G326" i="21" s="1"/>
  <c r="G324" i="21"/>
  <c r="G323" i="21" s="1"/>
  <c r="G320" i="21"/>
  <c r="G319" i="21" s="1"/>
  <c r="G318" i="21" s="1"/>
  <c r="G313" i="21"/>
  <c r="G312" i="21" s="1"/>
  <c r="G310" i="21"/>
  <c r="G309" i="21" s="1"/>
  <c r="G307" i="21"/>
  <c r="G306" i="21" s="1"/>
  <c r="G302" i="21"/>
  <c r="G301" i="21" s="1"/>
  <c r="G299" i="21"/>
  <c r="G298" i="21" s="1"/>
  <c r="G296" i="21"/>
  <c r="G295" i="21" s="1"/>
  <c r="G293" i="21"/>
  <c r="G292" i="21" s="1"/>
  <c r="G289" i="21"/>
  <c r="G288" i="21" s="1"/>
  <c r="G287" i="21" s="1"/>
  <c r="G286" i="21" s="1"/>
  <c r="G284" i="21"/>
  <c r="G283" i="21" s="1"/>
  <c r="G282" i="21" s="1"/>
  <c r="G279" i="21"/>
  <c r="G278" i="21" s="1"/>
  <c r="G276" i="21"/>
  <c r="G274" i="21"/>
  <c r="G272" i="21"/>
  <c r="G267" i="21"/>
  <c r="G266" i="21" s="1"/>
  <c r="G264" i="21"/>
  <c r="G263" i="21" s="1"/>
  <c r="G261" i="21"/>
  <c r="G260" i="21" s="1"/>
  <c r="G258" i="21"/>
  <c r="G257" i="21" s="1"/>
  <c r="G255" i="21"/>
  <c r="G254" i="21" s="1"/>
  <c r="G252" i="21"/>
  <c r="G250" i="21"/>
  <c r="G247" i="21"/>
  <c r="G245" i="21"/>
  <c r="G242" i="21"/>
  <c r="G241" i="21" s="1"/>
  <c r="G238" i="21"/>
  <c r="G237" i="21" s="1"/>
  <c r="G236" i="21" s="1"/>
  <c r="G232" i="21"/>
  <c r="G231" i="21" s="1"/>
  <c r="G230" i="21" s="1"/>
  <c r="G229" i="21" s="1"/>
  <c r="G227" i="21"/>
  <c r="G226" i="21" s="1"/>
  <c r="G225" i="21" s="1"/>
  <c r="G223" i="21"/>
  <c r="G221" i="21"/>
  <c r="G218" i="21"/>
  <c r="G217" i="21" s="1"/>
  <c r="G212" i="21"/>
  <c r="G210" i="21"/>
  <c r="G208" i="21"/>
  <c r="G203" i="21"/>
  <c r="G202" i="21" s="1"/>
  <c r="G201" i="21" s="1"/>
  <c r="G198" i="21"/>
  <c r="G196" i="21"/>
  <c r="G194" i="21"/>
  <c r="G186" i="21"/>
  <c r="G185" i="21" s="1"/>
  <c r="G184" i="21" s="1"/>
  <c r="G183" i="21" s="1"/>
  <c r="G182" i="21" s="1"/>
  <c r="G180" i="21"/>
  <c r="G179" i="21" s="1"/>
  <c r="G176" i="21"/>
  <c r="G175" i="21" s="1"/>
  <c r="G173" i="21"/>
  <c r="G172" i="21" s="1"/>
  <c r="G170" i="21"/>
  <c r="G169" i="21" s="1"/>
  <c r="G167" i="21"/>
  <c r="G165" i="21"/>
  <c r="G163" i="21"/>
  <c r="G160" i="21"/>
  <c r="G158" i="21"/>
  <c r="G156" i="21"/>
  <c r="G153" i="21"/>
  <c r="G151" i="21"/>
  <c r="G149" i="21"/>
  <c r="G143" i="21"/>
  <c r="G142" i="21" s="1"/>
  <c r="G141" i="21" s="1"/>
  <c r="G140" i="21" s="1"/>
  <c r="G138" i="21"/>
  <c r="G137" i="21" s="1"/>
  <c r="G136" i="21" s="1"/>
  <c r="G134" i="21"/>
  <c r="G133" i="21" s="1"/>
  <c r="G131" i="21"/>
  <c r="G130" i="21" s="1"/>
  <c r="G127" i="21"/>
  <c r="G126" i="21" s="1"/>
  <c r="G124" i="21"/>
  <c r="G123" i="21" s="1"/>
  <c r="G120" i="21"/>
  <c r="G119" i="21" s="1"/>
  <c r="G117" i="21"/>
  <c r="G116" i="21" s="1"/>
  <c r="G114" i="21"/>
  <c r="G113" i="21" s="1"/>
  <c r="G111" i="21"/>
  <c r="G110" i="21" s="1"/>
  <c r="G108" i="21"/>
  <c r="G107" i="21" s="1"/>
  <c r="G105" i="21"/>
  <c r="G104" i="21" s="1"/>
  <c r="G102" i="21"/>
  <c r="G101" i="21" s="1"/>
  <c r="G99" i="21"/>
  <c r="G98" i="21" s="1"/>
  <c r="G95" i="21"/>
  <c r="G94" i="21" s="1"/>
  <c r="G93" i="21" s="1"/>
  <c r="G89" i="21"/>
  <c r="G88" i="21" s="1"/>
  <c r="G87" i="21" s="1"/>
  <c r="G86" i="21" s="1"/>
  <c r="G85" i="21" s="1"/>
  <c r="G83" i="21"/>
  <c r="G82" i="21" s="1"/>
  <c r="G81" i="21" s="1"/>
  <c r="G80" i="21" s="1"/>
  <c r="G78" i="21"/>
  <c r="G77" i="21" s="1"/>
  <c r="G75" i="21"/>
  <c r="G73" i="21"/>
  <c r="G70" i="21"/>
  <c r="G69" i="21" s="1"/>
  <c r="G65" i="21"/>
  <c r="G63" i="21"/>
  <c r="G60" i="21"/>
  <c r="G59" i="21" s="1"/>
  <c r="G54" i="21"/>
  <c r="G53" i="21" s="1"/>
  <c r="G52" i="21" s="1"/>
  <c r="G51" i="21" s="1"/>
  <c r="G50" i="21" s="1"/>
  <c r="G48" i="21"/>
  <c r="G47" i="21" s="1"/>
  <c r="G45" i="21"/>
  <c r="G43" i="21"/>
  <c r="G40" i="21"/>
  <c r="G38" i="21"/>
  <c r="G33" i="21"/>
  <c r="G32" i="21" s="1"/>
  <c r="G31" i="21" s="1"/>
  <c r="G30" i="21" s="1"/>
  <c r="G29" i="21" s="1"/>
  <c r="G26" i="21"/>
  <c r="G24" i="21"/>
  <c r="G21" i="21"/>
  <c r="G20" i="21" s="1"/>
  <c r="G19" i="21" s="1"/>
  <c r="G18" i="21" s="1"/>
  <c r="H16" i="33"/>
  <c r="H15" i="33" s="1"/>
  <c r="G17" i="33"/>
  <c r="G16" i="33" s="1"/>
  <c r="H22" i="33"/>
  <c r="G23" i="33"/>
  <c r="G22" i="33" s="1"/>
  <c r="H24" i="33"/>
  <c r="G25" i="33"/>
  <c r="G24" i="33" s="1"/>
  <c r="G27" i="33"/>
  <c r="H27" i="33"/>
  <c r="I28" i="33"/>
  <c r="H29" i="33"/>
  <c r="G30" i="33"/>
  <c r="I30" i="33" s="1"/>
  <c r="G32" i="33"/>
  <c r="G31" i="33" s="1"/>
  <c r="H32" i="33"/>
  <c r="H31" i="33" s="1"/>
  <c r="I33" i="33"/>
  <c r="H37" i="33"/>
  <c r="H36" i="33" s="1"/>
  <c r="H35" i="33" s="1"/>
  <c r="G38" i="33"/>
  <c r="H43" i="33"/>
  <c r="H42" i="33" s="1"/>
  <c r="G44" i="33"/>
  <c r="G43" i="33" s="1"/>
  <c r="G42" i="33" s="1"/>
  <c r="G41" i="33" s="1"/>
  <c r="G40" i="33" s="1"/>
  <c r="G39" i="33" s="1"/>
  <c r="H50" i="33"/>
  <c r="G51" i="33"/>
  <c r="G50" i="33" s="1"/>
  <c r="H52" i="33"/>
  <c r="G53" i="33"/>
  <c r="G52" i="33" s="1"/>
  <c r="H54" i="33"/>
  <c r="G55" i="33"/>
  <c r="H57" i="33"/>
  <c r="G58" i="33"/>
  <c r="H59" i="33"/>
  <c r="G60" i="33"/>
  <c r="G61" i="33"/>
  <c r="H61" i="33"/>
  <c r="I62" i="33"/>
  <c r="H64" i="33"/>
  <c r="G65" i="33"/>
  <c r="H66" i="33"/>
  <c r="G67" i="33"/>
  <c r="G66" i="33" s="1"/>
  <c r="G68" i="33"/>
  <c r="H68" i="33"/>
  <c r="I69" i="33"/>
  <c r="H71" i="33"/>
  <c r="G72" i="33"/>
  <c r="G71" i="33" s="1"/>
  <c r="G70" i="33" s="1"/>
  <c r="H74" i="33"/>
  <c r="H73" i="33" s="1"/>
  <c r="G75" i="33"/>
  <c r="G74" i="33" s="1"/>
  <c r="G73" i="33" s="1"/>
  <c r="G77" i="33"/>
  <c r="G76" i="33" s="1"/>
  <c r="H77" i="33"/>
  <c r="H76" i="33" s="1"/>
  <c r="I78" i="33"/>
  <c r="I79" i="33"/>
  <c r="H83" i="33"/>
  <c r="H82" i="33" s="1"/>
  <c r="G84" i="33"/>
  <c r="H87" i="33"/>
  <c r="G88" i="33"/>
  <c r="G87" i="33" s="1"/>
  <c r="G86" i="33" s="1"/>
  <c r="H90" i="33"/>
  <c r="G91" i="33"/>
  <c r="G90" i="33" s="1"/>
  <c r="G89" i="33" s="1"/>
  <c r="H93" i="33"/>
  <c r="G94" i="33"/>
  <c r="G93" i="33" s="1"/>
  <c r="G92" i="33" s="1"/>
  <c r="H96" i="33"/>
  <c r="G97" i="33"/>
  <c r="G96" i="33" s="1"/>
  <c r="G95" i="33" s="1"/>
  <c r="H99" i="33"/>
  <c r="G100" i="33"/>
  <c r="G99" i="33" s="1"/>
  <c r="G98" i="33" s="1"/>
  <c r="H102" i="33"/>
  <c r="G103" i="33"/>
  <c r="G102" i="33" s="1"/>
  <c r="G101" i="33" s="1"/>
  <c r="H105" i="33"/>
  <c r="G106" i="33"/>
  <c r="G105" i="33" s="1"/>
  <c r="G104" i="33" s="1"/>
  <c r="G108" i="33"/>
  <c r="G107" i="33" s="1"/>
  <c r="H108" i="33"/>
  <c r="I109" i="33"/>
  <c r="H112" i="33"/>
  <c r="H111" i="33" s="1"/>
  <c r="G113" i="33"/>
  <c r="H115" i="33"/>
  <c r="H114" i="33" s="1"/>
  <c r="G116" i="33"/>
  <c r="H119" i="33"/>
  <c r="H118" i="33" s="1"/>
  <c r="G120" i="33"/>
  <c r="I120" i="33" s="1"/>
  <c r="H122" i="33"/>
  <c r="H121" i="33" s="1"/>
  <c r="G123" i="33"/>
  <c r="I123" i="33" s="1"/>
  <c r="H126" i="33"/>
  <c r="G127" i="33"/>
  <c r="I127" i="33" s="1"/>
  <c r="H134" i="33"/>
  <c r="G135" i="33"/>
  <c r="I135" i="33" s="1"/>
  <c r="H136" i="33"/>
  <c r="G137" i="33"/>
  <c r="H138" i="33"/>
  <c r="G139" i="33"/>
  <c r="H143" i="33"/>
  <c r="H142" i="33" s="1"/>
  <c r="G144" i="33"/>
  <c r="H148" i="33"/>
  <c r="H147" i="33" s="1"/>
  <c r="H146" i="33" s="1"/>
  <c r="G149" i="33"/>
  <c r="H153" i="33"/>
  <c r="H152" i="33" s="1"/>
  <c r="G154" i="33"/>
  <c r="I154" i="33" s="1"/>
  <c r="H156" i="33"/>
  <c r="H155" i="33" s="1"/>
  <c r="G157" i="33"/>
  <c r="I157" i="33" s="1"/>
  <c r="G163" i="33"/>
  <c r="G162" i="33" s="1"/>
  <c r="G161" i="33" s="1"/>
  <c r="G160" i="33" s="1"/>
  <c r="G159" i="33" s="1"/>
  <c r="H163" i="33"/>
  <c r="I164" i="33"/>
  <c r="H169" i="33"/>
  <c r="G170" i="33"/>
  <c r="I170" i="33" s="1"/>
  <c r="H172" i="33"/>
  <c r="G173" i="33"/>
  <c r="H175" i="33"/>
  <c r="G176" i="33"/>
  <c r="G177" i="33"/>
  <c r="H177" i="33"/>
  <c r="I178" i="33"/>
  <c r="G181" i="33"/>
  <c r="H181" i="33"/>
  <c r="H180" i="33" s="1"/>
  <c r="I182" i="33"/>
  <c r="H188" i="33"/>
  <c r="G189" i="33"/>
  <c r="H190" i="33"/>
  <c r="G191" i="33"/>
  <c r="G190" i="33" s="1"/>
  <c r="H192" i="33"/>
  <c r="G193" i="33"/>
  <c r="G192" i="33" s="1"/>
  <c r="H197" i="33"/>
  <c r="H196" i="33" s="1"/>
  <c r="H195" i="33" s="1"/>
  <c r="G198" i="33"/>
  <c r="H205" i="33"/>
  <c r="H204" i="33" s="1"/>
  <c r="G206" i="33"/>
  <c r="G205" i="33" s="1"/>
  <c r="G204" i="33" s="1"/>
  <c r="H208" i="33"/>
  <c r="G209" i="33"/>
  <c r="G208" i="33" s="1"/>
  <c r="H210" i="33"/>
  <c r="G211" i="33"/>
  <c r="G213" i="33"/>
  <c r="H213" i="33"/>
  <c r="H212" i="33" s="1"/>
  <c r="I214" i="33"/>
  <c r="G219" i="33"/>
  <c r="G218" i="33" s="1"/>
  <c r="H219" i="33"/>
  <c r="H218" i="33" s="1"/>
  <c r="H217" i="33" s="1"/>
  <c r="I220" i="33"/>
  <c r="H225" i="33"/>
  <c r="H224" i="33" s="1"/>
  <c r="H223" i="33" s="1"/>
  <c r="G226" i="33"/>
  <c r="H230" i="33"/>
  <c r="G231" i="33"/>
  <c r="G230" i="33" s="1"/>
  <c r="G229" i="33" s="1"/>
  <c r="G228" i="33" s="1"/>
  <c r="G227" i="33" s="1"/>
  <c r="H236" i="33"/>
  <c r="H235" i="33" s="1"/>
  <c r="G237" i="33"/>
  <c r="G236" i="33" s="1"/>
  <c r="H243" i="33"/>
  <c r="H242" i="33" s="1"/>
  <c r="G244" i="33"/>
  <c r="I244" i="33" s="1"/>
  <c r="G250" i="33"/>
  <c r="G249" i="33" s="1"/>
  <c r="G248" i="33" s="1"/>
  <c r="G247" i="33" s="1"/>
  <c r="G246" i="33" s="1"/>
  <c r="G245" i="33" s="1"/>
  <c r="H250" i="33"/>
  <c r="H249" i="33" s="1"/>
  <c r="I251" i="33"/>
  <c r="H258" i="33"/>
  <c r="H257" i="33" s="1"/>
  <c r="G259" i="33"/>
  <c r="G258" i="33" s="1"/>
  <c r="G257" i="33" s="1"/>
  <c r="H261" i="33"/>
  <c r="G262" i="33"/>
  <c r="G261" i="33" s="1"/>
  <c r="G263" i="33"/>
  <c r="H263" i="33"/>
  <c r="I264" i="33"/>
  <c r="G266" i="33"/>
  <c r="G265" i="33" s="1"/>
  <c r="H266" i="33"/>
  <c r="I267" i="33"/>
  <c r="G272" i="33"/>
  <c r="G271" i="33" s="1"/>
  <c r="G270" i="33" s="1"/>
  <c r="G269" i="33" s="1"/>
  <c r="G268" i="33" s="1"/>
  <c r="H272" i="33"/>
  <c r="I273" i="33"/>
  <c r="H278" i="33"/>
  <c r="H277" i="33" s="1"/>
  <c r="G279" i="33"/>
  <c r="G283" i="33"/>
  <c r="G282" i="33" s="1"/>
  <c r="G281" i="33" s="1"/>
  <c r="G280" i="33" s="1"/>
  <c r="H283" i="33"/>
  <c r="H282" i="33" s="1"/>
  <c r="I284" i="33"/>
  <c r="H289" i="33"/>
  <c r="G290" i="33"/>
  <c r="H296" i="33"/>
  <c r="G297" i="33"/>
  <c r="I297" i="33" s="1"/>
  <c r="G303" i="33"/>
  <c r="G302" i="33" s="1"/>
  <c r="G301" i="33" s="1"/>
  <c r="G300" i="33" s="1"/>
  <c r="G299" i="33" s="1"/>
  <c r="G298" i="33" s="1"/>
  <c r="H303" i="33"/>
  <c r="I304" i="33"/>
  <c r="G312" i="33"/>
  <c r="G311" i="33" s="1"/>
  <c r="G310" i="33" s="1"/>
  <c r="G309" i="33" s="1"/>
  <c r="G308" i="33" s="1"/>
  <c r="G307" i="33" s="1"/>
  <c r="H312" i="33"/>
  <c r="H311" i="33" s="1"/>
  <c r="I313" i="33"/>
  <c r="G318" i="33"/>
  <c r="G317" i="33" s="1"/>
  <c r="G316" i="33" s="1"/>
  <c r="G315" i="33" s="1"/>
  <c r="G314" i="33" s="1"/>
  <c r="H318" i="33"/>
  <c r="H317" i="33" s="1"/>
  <c r="I319" i="33"/>
  <c r="G325" i="33"/>
  <c r="G324" i="33" s="1"/>
  <c r="G323" i="33" s="1"/>
  <c r="G322" i="33" s="1"/>
  <c r="G321" i="33" s="1"/>
  <c r="H325" i="33"/>
  <c r="I326" i="33"/>
  <c r="H332" i="33"/>
  <c r="H331" i="33" s="1"/>
  <c r="G333" i="33"/>
  <c r="G332" i="33" s="1"/>
  <c r="G335" i="33"/>
  <c r="H335" i="33"/>
  <c r="I336" i="33"/>
  <c r="G337" i="33"/>
  <c r="H337" i="33"/>
  <c r="I338" i="33"/>
  <c r="G342" i="33"/>
  <c r="G341" i="33" s="1"/>
  <c r="G340" i="33" s="1"/>
  <c r="G339" i="33" s="1"/>
  <c r="H342" i="33"/>
  <c r="I343" i="33"/>
  <c r="G350" i="33"/>
  <c r="G349" i="33" s="1"/>
  <c r="G348" i="33" s="1"/>
  <c r="G347" i="33" s="1"/>
  <c r="G346" i="33" s="1"/>
  <c r="G345" i="33" s="1"/>
  <c r="H350" i="33"/>
  <c r="H349" i="33" s="1"/>
  <c r="I351" i="33"/>
  <c r="H357" i="33"/>
  <c r="H356" i="33" s="1"/>
  <c r="G358" i="33"/>
  <c r="G357" i="33" s="1"/>
  <c r="G356" i="33" s="1"/>
  <c r="H360" i="33"/>
  <c r="G361" i="33"/>
  <c r="G360" i="33" s="1"/>
  <c r="H362" i="33"/>
  <c r="G363" i="33"/>
  <c r="H366" i="33"/>
  <c r="H365" i="33" s="1"/>
  <c r="H364" i="33" s="1"/>
  <c r="G367" i="33"/>
  <c r="I367" i="33" s="1"/>
  <c r="G371" i="33"/>
  <c r="G370" i="33" s="1"/>
  <c r="G369" i="33" s="1"/>
  <c r="G368" i="33" s="1"/>
  <c r="H371" i="33"/>
  <c r="H370" i="33" s="1"/>
  <c r="I372" i="33"/>
  <c r="G377" i="33"/>
  <c r="G376" i="33" s="1"/>
  <c r="G375" i="33" s="1"/>
  <c r="H377" i="33"/>
  <c r="H376" i="33" s="1"/>
  <c r="I378" i="33"/>
  <c r="H381" i="33"/>
  <c r="H380" i="33" s="1"/>
  <c r="G382" i="33"/>
  <c r="G381" i="33" s="1"/>
  <c r="G380" i="33" s="1"/>
  <c r="H384" i="33"/>
  <c r="G385" i="33"/>
  <c r="G384" i="33" s="1"/>
  <c r="H386" i="33"/>
  <c r="G387" i="33"/>
  <c r="H389" i="33"/>
  <c r="G390" i="33"/>
  <c r="G389" i="33" s="1"/>
  <c r="H391" i="33"/>
  <c r="G392" i="33"/>
  <c r="I392" i="33" s="1"/>
  <c r="H394" i="33"/>
  <c r="H393" i="33" s="1"/>
  <c r="G395" i="33"/>
  <c r="I395" i="33" s="1"/>
  <c r="G397" i="33"/>
  <c r="G396" i="33" s="1"/>
  <c r="H397" i="33"/>
  <c r="H396" i="33" s="1"/>
  <c r="I398" i="33"/>
  <c r="H400" i="33"/>
  <c r="G401" i="33"/>
  <c r="G400" i="33" s="1"/>
  <c r="G399" i="33" s="1"/>
  <c r="G403" i="33"/>
  <c r="G402" i="33" s="1"/>
  <c r="H403" i="33"/>
  <c r="I404" i="33"/>
  <c r="H406" i="33"/>
  <c r="G407" i="33"/>
  <c r="G406" i="33" s="1"/>
  <c r="G405" i="33" s="1"/>
  <c r="H411" i="33"/>
  <c r="G412" i="33"/>
  <c r="G411" i="33" s="1"/>
  <c r="H413" i="33"/>
  <c r="G414" i="33"/>
  <c r="H415" i="33"/>
  <c r="G416" i="33"/>
  <c r="G415" i="33" s="1"/>
  <c r="H418" i="33"/>
  <c r="H417" i="33" s="1"/>
  <c r="G419" i="33"/>
  <c r="G418" i="33" s="1"/>
  <c r="G417" i="33" s="1"/>
  <c r="H427" i="33"/>
  <c r="G428" i="33"/>
  <c r="I428" i="33" s="1"/>
  <c r="H433" i="33"/>
  <c r="H432" i="33" s="1"/>
  <c r="G434" i="33"/>
  <c r="H436" i="33"/>
  <c r="H435" i="33" s="1"/>
  <c r="G437" i="33"/>
  <c r="G436" i="33" s="1"/>
  <c r="G439" i="33"/>
  <c r="H439" i="33"/>
  <c r="H438" i="33" s="1"/>
  <c r="I440" i="33"/>
  <c r="H447" i="33"/>
  <c r="H446" i="33" s="1"/>
  <c r="G448" i="33"/>
  <c r="G447" i="33" s="1"/>
  <c r="G446" i="33" s="1"/>
  <c r="G445" i="33" s="1"/>
  <c r="H450" i="33"/>
  <c r="H449" i="33" s="1"/>
  <c r="G451" i="33"/>
  <c r="I451" i="33" s="1"/>
  <c r="H454" i="33"/>
  <c r="G455" i="33"/>
  <c r="G457" i="33"/>
  <c r="G456" i="33" s="1"/>
  <c r="H457" i="33"/>
  <c r="I458" i="33"/>
  <c r="G460" i="33"/>
  <c r="H460" i="33"/>
  <c r="H459" i="33" s="1"/>
  <c r="I461" i="33"/>
  <c r="G467" i="33"/>
  <c r="G466" i="33" s="1"/>
  <c r="G465" i="33" s="1"/>
  <c r="H469" i="33"/>
  <c r="H468" i="33" s="1"/>
  <c r="G470" i="33"/>
  <c r="G469" i="33" s="1"/>
  <c r="G468" i="33" s="1"/>
  <c r="G472" i="33"/>
  <c r="H472" i="33"/>
  <c r="H471" i="33" s="1"/>
  <c r="I473" i="33"/>
  <c r="H475" i="33"/>
  <c r="G476" i="33"/>
  <c r="I476" i="33" s="1"/>
  <c r="G478" i="33"/>
  <c r="G477" i="33" s="1"/>
  <c r="H478" i="33"/>
  <c r="I479" i="33"/>
  <c r="G481" i="33"/>
  <c r="H481" i="33"/>
  <c r="H480" i="33" s="1"/>
  <c r="I482" i="33"/>
  <c r="G485" i="33"/>
  <c r="H485" i="33"/>
  <c r="H491" i="33"/>
  <c r="H490" i="33" s="1"/>
  <c r="G492" i="33"/>
  <c r="H494" i="33"/>
  <c r="G495" i="33"/>
  <c r="H496" i="33"/>
  <c r="G497" i="33"/>
  <c r="G496" i="33" s="1"/>
  <c r="G501" i="33"/>
  <c r="H501" i="33"/>
  <c r="H500" i="33" s="1"/>
  <c r="I502" i="33"/>
  <c r="G509" i="33"/>
  <c r="G508" i="33" s="1"/>
  <c r="G507" i="33" s="1"/>
  <c r="G506" i="33" s="1"/>
  <c r="G505" i="33" s="1"/>
  <c r="G504" i="33" s="1"/>
  <c r="H509" i="33"/>
  <c r="I510" i="33"/>
  <c r="H515" i="33"/>
  <c r="G516" i="33"/>
  <c r="G515" i="33" s="1"/>
  <c r="H517" i="33"/>
  <c r="G518" i="33"/>
  <c r="H519" i="33"/>
  <c r="G520" i="33"/>
  <c r="H525" i="33"/>
  <c r="H524" i="33" s="1"/>
  <c r="G526" i="33"/>
  <c r="G528" i="33"/>
  <c r="G527" i="33" s="1"/>
  <c r="H528" i="33"/>
  <c r="H527" i="33" s="1"/>
  <c r="I529" i="33"/>
  <c r="G531" i="33"/>
  <c r="G530" i="33" s="1"/>
  <c r="H531" i="33"/>
  <c r="H530" i="33" s="1"/>
  <c r="I532" i="33"/>
  <c r="G534" i="33"/>
  <c r="G533" i="33" s="1"/>
  <c r="H534" i="33"/>
  <c r="I535" i="33"/>
  <c r="G537" i="33"/>
  <c r="G536" i="33" s="1"/>
  <c r="H537" i="33"/>
  <c r="I538" i="33"/>
  <c r="G540" i="33"/>
  <c r="H540" i="33"/>
  <c r="H539" i="33" s="1"/>
  <c r="I541" i="33"/>
  <c r="H543" i="33"/>
  <c r="H542" i="33" s="1"/>
  <c r="G544" i="33"/>
  <c r="I544" i="33" s="1"/>
  <c r="H546" i="33"/>
  <c r="H545" i="33" s="1"/>
  <c r="G547" i="33"/>
  <c r="G546" i="33" s="1"/>
  <c r="G545" i="33" s="1"/>
  <c r="H549" i="33"/>
  <c r="H548" i="33" s="1"/>
  <c r="G550" i="33"/>
  <c r="G549" i="33" s="1"/>
  <c r="G548" i="33" s="1"/>
  <c r="H553" i="33"/>
  <c r="H552" i="33" s="1"/>
  <c r="G554" i="33"/>
  <c r="H556" i="33"/>
  <c r="H555" i="33" s="1"/>
  <c r="G557" i="33"/>
  <c r="H563" i="33"/>
  <c r="H562" i="33" s="1"/>
  <c r="G564" i="33"/>
  <c r="H566" i="33"/>
  <c r="G567" i="33"/>
  <c r="G568" i="33"/>
  <c r="H568" i="33"/>
  <c r="I569" i="33"/>
  <c r="G573" i="33"/>
  <c r="G572" i="33" s="1"/>
  <c r="G571" i="33" s="1"/>
  <c r="G570" i="33" s="1"/>
  <c r="H573" i="33"/>
  <c r="I574" i="33"/>
  <c r="H580" i="33"/>
  <c r="G581" i="33"/>
  <c r="G580" i="33" s="1"/>
  <c r="G579" i="33" s="1"/>
  <c r="G578" i="33" s="1"/>
  <c r="G577" i="33" s="1"/>
  <c r="G576" i="33" s="1"/>
  <c r="H586" i="33"/>
  <c r="G587" i="33"/>
  <c r="G586" i="33" s="1"/>
  <c r="G585" i="33" s="1"/>
  <c r="H589" i="33"/>
  <c r="G590" i="33"/>
  <c r="G592" i="33"/>
  <c r="G591" i="33" s="1"/>
  <c r="H592" i="33"/>
  <c r="I593" i="33"/>
  <c r="G595" i="33"/>
  <c r="G594" i="33" s="1"/>
  <c r="H595" i="33"/>
  <c r="I596" i="33"/>
  <c r="H601" i="33"/>
  <c r="H600" i="33" s="1"/>
  <c r="G602" i="33"/>
  <c r="G601" i="33" s="1"/>
  <c r="H604" i="33"/>
  <c r="H603" i="33" s="1"/>
  <c r="G605" i="33"/>
  <c r="G604" i="33" s="1"/>
  <c r="H607" i="33"/>
  <c r="H606" i="33" s="1"/>
  <c r="G608" i="33"/>
  <c r="H610" i="33"/>
  <c r="H609" i="33" s="1"/>
  <c r="G611" i="33"/>
  <c r="G610" i="33" s="1"/>
  <c r="H613" i="33"/>
  <c r="G614" i="33"/>
  <c r="G613" i="33" s="1"/>
  <c r="G612" i="33" s="1"/>
  <c r="H619" i="33"/>
  <c r="G620" i="33"/>
  <c r="G619" i="33" s="1"/>
  <c r="G618" i="33" s="1"/>
  <c r="H622" i="33"/>
  <c r="G623" i="33"/>
  <c r="H625" i="33"/>
  <c r="G626" i="33"/>
  <c r="G625" i="33" s="1"/>
  <c r="G624" i="33" s="1"/>
  <c r="H628" i="33"/>
  <c r="G629" i="33"/>
  <c r="I629" i="33" s="1"/>
  <c r="H633" i="33"/>
  <c r="H632" i="33" s="1"/>
  <c r="G634" i="33"/>
  <c r="H636" i="33"/>
  <c r="H635" i="33" s="1"/>
  <c r="G637" i="33"/>
  <c r="H639" i="33"/>
  <c r="H638" i="33" s="1"/>
  <c r="G640" i="33"/>
  <c r="G642" i="33"/>
  <c r="G641" i="33" s="1"/>
  <c r="H642" i="33"/>
  <c r="H641" i="33" s="1"/>
  <c r="I643" i="33"/>
  <c r="H649" i="33"/>
  <c r="H648" i="33" s="1"/>
  <c r="G650" i="33"/>
  <c r="H652" i="33"/>
  <c r="G653" i="33"/>
  <c r="H654" i="33"/>
  <c r="G655" i="33"/>
  <c r="G657" i="33"/>
  <c r="G656" i="33" s="1"/>
  <c r="H657" i="33"/>
  <c r="H656" i="33" s="1"/>
  <c r="I658" i="33"/>
  <c r="H663" i="33"/>
  <c r="G664" i="33"/>
  <c r="G669" i="33"/>
  <c r="G668" i="33" s="1"/>
  <c r="G667" i="33" s="1"/>
  <c r="G666" i="33" s="1"/>
  <c r="H669" i="33"/>
  <c r="H668" i="33" s="1"/>
  <c r="H667" i="33" s="1"/>
  <c r="H666" i="33" s="1"/>
  <c r="I670" i="33"/>
  <c r="G674" i="33"/>
  <c r="G673" i="33" s="1"/>
  <c r="G672" i="33" s="1"/>
  <c r="G671" i="33" s="1"/>
  <c r="H674" i="33"/>
  <c r="I675" i="33"/>
  <c r="H679" i="33"/>
  <c r="H678" i="33" s="1"/>
  <c r="G680" i="33"/>
  <c r="G679" i="33" s="1"/>
  <c r="H682" i="33"/>
  <c r="G683" i="33"/>
  <c r="G682" i="33" s="1"/>
  <c r="G681" i="33" s="1"/>
  <c r="H685" i="33"/>
  <c r="G686" i="33"/>
  <c r="G685" i="33" s="1"/>
  <c r="G684" i="33" s="1"/>
  <c r="G688" i="33"/>
  <c r="G687" i="33" s="1"/>
  <c r="H688" i="33"/>
  <c r="I689" i="33"/>
  <c r="H694" i="33"/>
  <c r="H693" i="33" s="1"/>
  <c r="H692" i="33" s="1"/>
  <c r="H691" i="33" s="1"/>
  <c r="H690" i="33" s="1"/>
  <c r="G695" i="33"/>
  <c r="G694" i="33" s="1"/>
  <c r="G693" i="33" s="1"/>
  <c r="G692" i="33" s="1"/>
  <c r="H700" i="33"/>
  <c r="H699" i="33" s="1"/>
  <c r="G701" i="33"/>
  <c r="G703" i="33"/>
  <c r="G702" i="33" s="1"/>
  <c r="H703" i="33"/>
  <c r="H702" i="33" s="1"/>
  <c r="I704" i="33"/>
  <c r="G711" i="33"/>
  <c r="G710" i="33" s="1"/>
  <c r="H709" i="33"/>
  <c r="H708" i="33" s="1"/>
  <c r="H717" i="33"/>
  <c r="H716" i="33" s="1"/>
  <c r="G718" i="33"/>
  <c r="G724" i="33"/>
  <c r="H724" i="33"/>
  <c r="H723" i="33" s="1"/>
  <c r="I725" i="33"/>
  <c r="H728" i="33"/>
  <c r="H727" i="33" s="1"/>
  <c r="G729" i="33"/>
  <c r="H731" i="33"/>
  <c r="H730" i="33" s="1"/>
  <c r="G732" i="33"/>
  <c r="H735" i="33"/>
  <c r="G736" i="33"/>
  <c r="I736" i="33" s="1"/>
  <c r="H738" i="33"/>
  <c r="G739" i="33"/>
  <c r="I739" i="33" s="1"/>
  <c r="G745" i="33"/>
  <c r="G744" i="33" s="1"/>
  <c r="H745" i="33"/>
  <c r="I746" i="33"/>
  <c r="H748" i="33"/>
  <c r="H747" i="33" s="1"/>
  <c r="G749" i="33"/>
  <c r="G748" i="33" s="1"/>
  <c r="G747" i="33" s="1"/>
  <c r="H752" i="33"/>
  <c r="G753" i="33"/>
  <c r="H754" i="33"/>
  <c r="G755" i="33"/>
  <c r="G754" i="33" s="1"/>
  <c r="H757" i="33"/>
  <c r="H756" i="33" s="1"/>
  <c r="G758" i="33"/>
  <c r="G757" i="33" s="1"/>
  <c r="G756" i="33" s="1"/>
  <c r="G763" i="33"/>
  <c r="H763" i="33"/>
  <c r="I764" i="33"/>
  <c r="H765" i="33"/>
  <c r="G766" i="33"/>
  <c r="I766" i="33" s="1"/>
  <c r="H768" i="33"/>
  <c r="G769" i="33"/>
  <c r="G768" i="33" s="1"/>
  <c r="G767" i="33" s="1"/>
  <c r="G771" i="33"/>
  <c r="G770" i="33" s="1"/>
  <c r="H771" i="33"/>
  <c r="I772" i="33"/>
  <c r="H779" i="33"/>
  <c r="H778" i="33" s="1"/>
  <c r="G780" i="33"/>
  <c r="G782" i="33"/>
  <c r="H782" i="33"/>
  <c r="I783" i="33"/>
  <c r="H784" i="33"/>
  <c r="G785" i="33"/>
  <c r="H788" i="33"/>
  <c r="G789" i="33"/>
  <c r="G788" i="33" s="1"/>
  <c r="H790" i="33"/>
  <c r="G791" i="33"/>
  <c r="H792" i="33"/>
  <c r="G793" i="33"/>
  <c r="G792" i="33" s="1"/>
  <c r="G797" i="33"/>
  <c r="G796" i="33" s="1"/>
  <c r="G795" i="33" s="1"/>
  <c r="G794" i="33" s="1"/>
  <c r="H797" i="33"/>
  <c r="H796" i="33" s="1"/>
  <c r="I798" i="33"/>
  <c r="H805" i="33"/>
  <c r="H804" i="33" s="1"/>
  <c r="G806" i="33"/>
  <c r="G805" i="33" s="1"/>
  <c r="G804" i="33" s="1"/>
  <c r="H808" i="33"/>
  <c r="G809" i="33"/>
  <c r="G808" i="33" s="1"/>
  <c r="G810" i="33"/>
  <c r="H810" i="33"/>
  <c r="I811" i="33"/>
  <c r="G813" i="33"/>
  <c r="G812" i="33" s="1"/>
  <c r="H813" i="33"/>
  <c r="I814" i="33"/>
  <c r="H818" i="33"/>
  <c r="G819" i="33"/>
  <c r="I819" i="33" s="1"/>
  <c r="H824" i="33"/>
  <c r="H823" i="33" s="1"/>
  <c r="G825" i="33"/>
  <c r="G824" i="33" s="1"/>
  <c r="G823" i="33" s="1"/>
  <c r="G822" i="33" s="1"/>
  <c r="G821" i="33" s="1"/>
  <c r="G820" i="33" s="1"/>
  <c r="H832" i="33"/>
  <c r="G833" i="33"/>
  <c r="I833" i="33" s="1"/>
  <c r="H835" i="33"/>
  <c r="G836" i="33"/>
  <c r="I836" i="33" s="1"/>
  <c r="H837" i="33"/>
  <c r="G838" i="33"/>
  <c r="I838" i="33" s="1"/>
  <c r="G840" i="33"/>
  <c r="G839" i="33" s="1"/>
  <c r="H840" i="33"/>
  <c r="H839" i="33" s="1"/>
  <c r="I841" i="33"/>
  <c r="G846" i="33"/>
  <c r="G845" i="33" s="1"/>
  <c r="H846" i="33"/>
  <c r="H845" i="33" s="1"/>
  <c r="I847" i="33"/>
  <c r="H849" i="33"/>
  <c r="G850" i="33"/>
  <c r="G849" i="33" s="1"/>
  <c r="G848" i="33" s="1"/>
  <c r="H856" i="33"/>
  <c r="H855" i="33" s="1"/>
  <c r="H854" i="33" s="1"/>
  <c r="G857" i="33"/>
  <c r="H864" i="33"/>
  <c r="H863" i="33" s="1"/>
  <c r="G865" i="33"/>
  <c r="I865" i="33" s="1"/>
  <c r="G866" i="33"/>
  <c r="I866" i="33" s="1"/>
  <c r="H868" i="33"/>
  <c r="H867" i="33" s="1"/>
  <c r="G869" i="33"/>
  <c r="G870" i="33"/>
  <c r="I870" i="33" s="1"/>
  <c r="G872" i="33"/>
  <c r="G871" i="33" s="1"/>
  <c r="H872" i="33"/>
  <c r="H871" i="33" s="1"/>
  <c r="I873" i="33"/>
  <c r="H878" i="33"/>
  <c r="H877" i="33" s="1"/>
  <c r="G879" i="33"/>
  <c r="G880" i="33"/>
  <c r="I880" i="33" s="1"/>
  <c r="H882" i="33"/>
  <c r="H881" i="33" s="1"/>
  <c r="G883" i="33"/>
  <c r="G884" i="33"/>
  <c r="I884" i="33" s="1"/>
  <c r="H887" i="33"/>
  <c r="H886" i="33" s="1"/>
  <c r="G888" i="33"/>
  <c r="I888" i="33" s="1"/>
  <c r="G889" i="33"/>
  <c r="I889" i="33" s="1"/>
  <c r="H894" i="33"/>
  <c r="H893" i="33" s="1"/>
  <c r="G895" i="33"/>
  <c r="G896" i="33"/>
  <c r="I896" i="33" s="1"/>
  <c r="G898" i="33"/>
  <c r="G897" i="33" s="1"/>
  <c r="H898" i="33"/>
  <c r="I899" i="33"/>
  <c r="G904" i="33"/>
  <c r="G903" i="33" s="1"/>
  <c r="G902" i="33" s="1"/>
  <c r="G901" i="33" s="1"/>
  <c r="G900" i="33" s="1"/>
  <c r="H904" i="33"/>
  <c r="I905" i="33"/>
  <c r="G910" i="33"/>
  <c r="G909" i="33" s="1"/>
  <c r="H910" i="33"/>
  <c r="I911" i="33"/>
  <c r="I912" i="33"/>
  <c r="H914" i="33"/>
  <c r="G915" i="33"/>
  <c r="I915" i="33" s="1"/>
  <c r="G916" i="33"/>
  <c r="I916" i="33" s="1"/>
  <c r="H920" i="33"/>
  <c r="G921" i="33"/>
  <c r="G920" i="33" s="1"/>
  <c r="H922" i="33"/>
  <c r="G923" i="33"/>
  <c r="G922" i="33" s="1"/>
  <c r="G924" i="33"/>
  <c r="H924" i="33"/>
  <c r="I925" i="33"/>
  <c r="H927" i="33"/>
  <c r="G928" i="33"/>
  <c r="G927" i="33" s="1"/>
  <c r="H929" i="33"/>
  <c r="G930" i="33"/>
  <c r="H932" i="33"/>
  <c r="G933" i="33"/>
  <c r="H934" i="33"/>
  <c r="G935" i="33"/>
  <c r="G934" i="33" s="1"/>
  <c r="H936" i="33"/>
  <c r="G937" i="33"/>
  <c r="G936" i="33" s="1"/>
  <c r="H942" i="33"/>
  <c r="H941" i="33" s="1"/>
  <c r="G943" i="33"/>
  <c r="G942" i="33" s="1"/>
  <c r="G945" i="33"/>
  <c r="H945" i="33"/>
  <c r="I946" i="33"/>
  <c r="H947" i="33"/>
  <c r="G948" i="33"/>
  <c r="G947" i="33" s="1"/>
  <c r="G952" i="33"/>
  <c r="G951" i="33" s="1"/>
  <c r="G950" i="33" s="1"/>
  <c r="G949" i="33" s="1"/>
  <c r="H952" i="33"/>
  <c r="H951" i="33" s="1"/>
  <c r="I953" i="33"/>
  <c r="H959" i="33"/>
  <c r="H958" i="33" s="1"/>
  <c r="G960" i="33"/>
  <c r="I960" i="33" s="1"/>
  <c r="G961" i="33"/>
  <c r="I961" i="33" s="1"/>
  <c r="G963" i="33"/>
  <c r="G962" i="33" s="1"/>
  <c r="H963" i="33"/>
  <c r="H962" i="33" s="1"/>
  <c r="I964" i="33"/>
  <c r="H969" i="33"/>
  <c r="H968" i="33" s="1"/>
  <c r="H967" i="33" s="1"/>
  <c r="G970" i="33"/>
  <c r="G969" i="33" s="1"/>
  <c r="H978" i="33"/>
  <c r="H977" i="33" s="1"/>
  <c r="H976" i="33" s="1"/>
  <c r="H975" i="33" s="1"/>
  <c r="H974" i="33" s="1"/>
  <c r="G979" i="33"/>
  <c r="G978" i="33" s="1"/>
  <c r="G977" i="33" s="1"/>
  <c r="H984" i="33"/>
  <c r="H983" i="33" s="1"/>
  <c r="H982" i="33" s="1"/>
  <c r="H981" i="33" s="1"/>
  <c r="G985" i="33"/>
  <c r="G984" i="33" s="1"/>
  <c r="H987" i="33"/>
  <c r="G988" i="33"/>
  <c r="G987" i="33" s="1"/>
  <c r="G989" i="33"/>
  <c r="H989" i="33"/>
  <c r="I990" i="33"/>
  <c r="G995" i="33"/>
  <c r="G994" i="33" s="1"/>
  <c r="G993" i="33" s="1"/>
  <c r="G992" i="33" s="1"/>
  <c r="G991" i="33" s="1"/>
  <c r="H995" i="33"/>
  <c r="H994" i="33" s="1"/>
  <c r="H993" i="33" s="1"/>
  <c r="I996" i="33"/>
  <c r="H1003" i="33"/>
  <c r="H1002" i="33" s="1"/>
  <c r="G1004" i="33"/>
  <c r="I1004" i="33" s="1"/>
  <c r="H1006" i="33"/>
  <c r="G1007" i="33"/>
  <c r="I1007" i="33" s="1"/>
  <c r="H1008" i="33"/>
  <c r="G1009" i="33"/>
  <c r="G1008" i="33" s="1"/>
  <c r="H1013" i="33"/>
  <c r="H1012" i="33" s="1"/>
  <c r="G1014" i="33"/>
  <c r="G1013" i="33" s="1"/>
  <c r="G1012" i="33" s="1"/>
  <c r="G1011" i="33" s="1"/>
  <c r="G1010" i="33" s="1"/>
  <c r="G743" i="33" l="1"/>
  <c r="G667" i="21"/>
  <c r="G385" i="21"/>
  <c r="G220" i="21"/>
  <c r="G216" i="21" s="1"/>
  <c r="G215" i="21" s="1"/>
  <c r="G214" i="21" s="1"/>
  <c r="G844" i="33"/>
  <c r="G843" i="33" s="1"/>
  <c r="G842" i="33" s="1"/>
  <c r="I979" i="33"/>
  <c r="I1008" i="33"/>
  <c r="I937" i="33"/>
  <c r="H484" i="33"/>
  <c r="I485" i="33"/>
  <c r="I935" i="33"/>
  <c r="H781" i="33"/>
  <c r="H777" i="33" s="1"/>
  <c r="H776" i="33" s="1"/>
  <c r="I769" i="33"/>
  <c r="I620" i="33"/>
  <c r="I76" i="33"/>
  <c r="I193" i="33"/>
  <c r="I231" i="33"/>
  <c r="I605" i="33"/>
  <c r="I850" i="33"/>
  <c r="I813" i="33"/>
  <c r="I789" i="33"/>
  <c r="I754" i="33"/>
  <c r="I674" i="33"/>
  <c r="I595" i="33"/>
  <c r="I237" i="33"/>
  <c r="I209" i="33"/>
  <c r="I945" i="33"/>
  <c r="I934" i="33"/>
  <c r="I928" i="33"/>
  <c r="I924" i="33"/>
  <c r="I921" i="33"/>
  <c r="I361" i="33"/>
  <c r="I266" i="33"/>
  <c r="H207" i="33"/>
  <c r="H203" i="33" s="1"/>
  <c r="I415" i="33"/>
  <c r="G882" i="33"/>
  <c r="G881" i="33" s="1"/>
  <c r="I881" i="33" s="1"/>
  <c r="I747" i="33"/>
  <c r="G119" i="33"/>
  <c r="G118" i="33" s="1"/>
  <c r="I118" i="33" s="1"/>
  <c r="I947" i="33"/>
  <c r="I702" i="33"/>
  <c r="I611" i="33"/>
  <c r="I437" i="33"/>
  <c r="I545" i="33"/>
  <c r="I177" i="33"/>
  <c r="H986" i="33"/>
  <c r="H980" i="33" s="1"/>
  <c r="G738" i="33"/>
  <c r="G737" i="33" s="1"/>
  <c r="G735" i="33"/>
  <c r="G734" i="33" s="1"/>
  <c r="G733" i="33" s="1"/>
  <c r="I724" i="33"/>
  <c r="I481" i="33"/>
  <c r="G475" i="33"/>
  <c r="G474" i="33" s="1"/>
  <c r="I468" i="33"/>
  <c r="G391" i="33"/>
  <c r="G388" i="33" s="1"/>
  <c r="G366" i="33"/>
  <c r="G365" i="33" s="1"/>
  <c r="G364" i="33" s="1"/>
  <c r="G260" i="33"/>
  <c r="G256" i="33" s="1"/>
  <c r="G255" i="33" s="1"/>
  <c r="G254" i="33" s="1"/>
  <c r="H1005" i="33"/>
  <c r="H1001" i="33" s="1"/>
  <c r="I923" i="33"/>
  <c r="G878" i="33"/>
  <c r="G877" i="33" s="1"/>
  <c r="I877" i="33" s="1"/>
  <c r="I839" i="33"/>
  <c r="I825" i="33"/>
  <c r="G723" i="33"/>
  <c r="G722" i="33" s="1"/>
  <c r="I703" i="33"/>
  <c r="H651" i="33"/>
  <c r="H647" i="33" s="1"/>
  <c r="G628" i="33"/>
  <c r="G627" i="33" s="1"/>
  <c r="I587" i="33"/>
  <c r="H551" i="33"/>
  <c r="I548" i="33"/>
  <c r="G480" i="33"/>
  <c r="I480" i="33" s="1"/>
  <c r="G427" i="33"/>
  <c r="G426" i="33" s="1"/>
  <c r="G425" i="33" s="1"/>
  <c r="G424" i="33" s="1"/>
  <c r="G423" i="33" s="1"/>
  <c r="G422" i="33" s="1"/>
  <c r="I412" i="33"/>
  <c r="I401" i="33"/>
  <c r="G394" i="33"/>
  <c r="G393" i="33" s="1"/>
  <c r="I393" i="33" s="1"/>
  <c r="G243" i="33"/>
  <c r="G242" i="33" s="1"/>
  <c r="G241" i="33" s="1"/>
  <c r="G240" i="33" s="1"/>
  <c r="G239" i="33" s="1"/>
  <c r="G238" i="33" s="1"/>
  <c r="I50" i="33"/>
  <c r="I792" i="33"/>
  <c r="I626" i="33"/>
  <c r="I614" i="33"/>
  <c r="I497" i="33"/>
  <c r="G450" i="33"/>
  <c r="G449" i="33" s="1"/>
  <c r="I449" i="33" s="1"/>
  <c r="I418" i="33"/>
  <c r="I358" i="33"/>
  <c r="G296" i="33"/>
  <c r="G295" i="33" s="1"/>
  <c r="G294" i="33" s="1"/>
  <c r="G293" i="33" s="1"/>
  <c r="G292" i="33" s="1"/>
  <c r="G291" i="33" s="1"/>
  <c r="H265" i="33"/>
  <c r="I265" i="33" s="1"/>
  <c r="I206" i="33"/>
  <c r="G153" i="33"/>
  <c r="G152" i="33" s="1"/>
  <c r="I152" i="33" s="1"/>
  <c r="G134" i="33"/>
  <c r="I134" i="33" s="1"/>
  <c r="G126" i="33"/>
  <c r="G125" i="33" s="1"/>
  <c r="G124" i="33" s="1"/>
  <c r="G122" i="33"/>
  <c r="G121" i="33" s="1"/>
  <c r="I121" i="33" s="1"/>
  <c r="G29" i="33"/>
  <c r="I29" i="33" s="1"/>
  <c r="I25" i="33"/>
  <c r="G818" i="33"/>
  <c r="G817" i="33" s="1"/>
  <c r="G816" i="33" s="1"/>
  <c r="G815" i="33" s="1"/>
  <c r="H673" i="33"/>
  <c r="H672" i="33" s="1"/>
  <c r="I668" i="33"/>
  <c r="I546" i="33"/>
  <c r="G543" i="33"/>
  <c r="G542" i="33" s="1"/>
  <c r="I542" i="33" s="1"/>
  <c r="I496" i="33"/>
  <c r="I448" i="33"/>
  <c r="H431" i="33"/>
  <c r="H430" i="33" s="1"/>
  <c r="H429" i="33" s="1"/>
  <c r="G169" i="33"/>
  <c r="G168" i="33" s="1"/>
  <c r="G156" i="33"/>
  <c r="G155" i="33" s="1"/>
  <c r="I1014" i="33"/>
  <c r="I879" i="33"/>
  <c r="I810" i="33"/>
  <c r="G765" i="33"/>
  <c r="G762" i="33" s="1"/>
  <c r="I641" i="33"/>
  <c r="I549" i="33"/>
  <c r="I272" i="33"/>
  <c r="I77" i="33"/>
  <c r="I73" i="33"/>
  <c r="I656" i="33"/>
  <c r="I995" i="33"/>
  <c r="I962" i="33"/>
  <c r="I871" i="33"/>
  <c r="I756" i="33"/>
  <c r="G691" i="33"/>
  <c r="G690" i="33" s="1"/>
  <c r="I657" i="33"/>
  <c r="I528" i="33"/>
  <c r="I381" i="33"/>
  <c r="G21" i="33"/>
  <c r="G761" i="33"/>
  <c r="G760" i="33" s="1"/>
  <c r="G759" i="33" s="1"/>
  <c r="H631" i="33"/>
  <c r="H630" i="33" s="1"/>
  <c r="H931" i="33"/>
  <c r="I757" i="33"/>
  <c r="H698" i="33"/>
  <c r="H697" i="33" s="1"/>
  <c r="I694" i="33"/>
  <c r="I568" i="33"/>
  <c r="I384" i="33"/>
  <c r="I963" i="33"/>
  <c r="G807" i="33"/>
  <c r="G803" i="33" s="1"/>
  <c r="G802" i="33" s="1"/>
  <c r="G801" i="33" s="1"/>
  <c r="H751" i="33"/>
  <c r="H750" i="33" s="1"/>
  <c r="H514" i="33"/>
  <c r="H513" i="33" s="1"/>
  <c r="H493" i="33"/>
  <c r="H489" i="33" s="1"/>
  <c r="H488" i="33" s="1"/>
  <c r="H410" i="33"/>
  <c r="H409" i="33" s="1"/>
  <c r="H359" i="33"/>
  <c r="H355" i="33" s="1"/>
  <c r="I337" i="33"/>
  <c r="G334" i="33"/>
  <c r="H271" i="33"/>
  <c r="H270" i="33" s="1"/>
  <c r="I263" i="33"/>
  <c r="I219" i="33"/>
  <c r="I61" i="33"/>
  <c r="I52" i="33"/>
  <c r="H26" i="33"/>
  <c r="G453" i="21"/>
  <c r="G449" i="21" s="1"/>
  <c r="G448" i="21" s="1"/>
  <c r="G447" i="21" s="1"/>
  <c r="G439" i="21"/>
  <c r="G72" i="21"/>
  <c r="G68" i="21" s="1"/>
  <c r="G67" i="21" s="1"/>
  <c r="G465" i="21"/>
  <c r="G484" i="21"/>
  <c r="G501" i="21"/>
  <c r="G500" i="21" s="1"/>
  <c r="G499" i="21" s="1"/>
  <c r="G578" i="21"/>
  <c r="G577" i="21" s="1"/>
  <c r="G576" i="21" s="1"/>
  <c r="G608" i="21"/>
  <c r="G621" i="21"/>
  <c r="G617" i="21" s="1"/>
  <c r="G616" i="21" s="1"/>
  <c r="G615" i="21" s="1"/>
  <c r="G647" i="21"/>
  <c r="G646" i="21" s="1"/>
  <c r="G645" i="21" s="1"/>
  <c r="G723" i="21"/>
  <c r="G722" i="21" s="1"/>
  <c r="G760" i="21"/>
  <c r="G759" i="21" s="1"/>
  <c r="G788" i="21"/>
  <c r="G787" i="21" s="1"/>
  <c r="G786" i="21" s="1"/>
  <c r="G785" i="21" s="1"/>
  <c r="G784" i="21" s="1"/>
  <c r="G148" i="21"/>
  <c r="G363" i="21"/>
  <c r="G362" i="21" s="1"/>
  <c r="G774" i="21"/>
  <c r="G769" i="21" s="1"/>
  <c r="G768" i="21" s="1"/>
  <c r="G767" i="21" s="1"/>
  <c r="G355" i="21"/>
  <c r="G561" i="21"/>
  <c r="G560" i="21" s="1"/>
  <c r="G471" i="21"/>
  <c r="G470" i="21" s="1"/>
  <c r="G461" i="21"/>
  <c r="G460" i="21" s="1"/>
  <c r="G459" i="21" s="1"/>
  <c r="G23" i="21"/>
  <c r="G17" i="21" s="1"/>
  <c r="G155" i="21"/>
  <c r="G322" i="21"/>
  <c r="G696" i="21"/>
  <c r="G692" i="21" s="1"/>
  <c r="G691" i="21" s="1"/>
  <c r="G690" i="21" s="1"/>
  <c r="G626" i="21"/>
  <c r="G596" i="21"/>
  <c r="G595" i="21" s="1"/>
  <c r="G585" i="21"/>
  <c r="G415" i="21"/>
  <c r="G414" i="21" s="1"/>
  <c r="G413" i="21" s="1"/>
  <c r="G739" i="21"/>
  <c r="G732" i="21" s="1"/>
  <c r="G731" i="21" s="1"/>
  <c r="G603" i="21"/>
  <c r="G535" i="21"/>
  <c r="G534" i="21" s="1"/>
  <c r="G533" i="21" s="1"/>
  <c r="G519" i="21"/>
  <c r="G518" i="21" s="1"/>
  <c r="G517" i="21" s="1"/>
  <c r="G426" i="21"/>
  <c r="G371" i="21"/>
  <c r="G336" i="21"/>
  <c r="G329" i="21"/>
  <c r="G305" i="21"/>
  <c r="G304" i="21" s="1"/>
  <c r="G291" i="21"/>
  <c r="G271" i="21"/>
  <c r="G270" i="21" s="1"/>
  <c r="G269" i="21" s="1"/>
  <c r="G249" i="21"/>
  <c r="G244" i="21"/>
  <c r="G207" i="21"/>
  <c r="G206" i="21" s="1"/>
  <c r="G205" i="21" s="1"/>
  <c r="G193" i="21"/>
  <c r="G192" i="21" s="1"/>
  <c r="G968" i="33"/>
  <c r="G967" i="33" s="1"/>
  <c r="G966" i="33" s="1"/>
  <c r="G965" i="33" s="1"/>
  <c r="I969" i="33"/>
  <c r="G941" i="33"/>
  <c r="I941" i="33" s="1"/>
  <c r="I942" i="33"/>
  <c r="I732" i="33"/>
  <c r="G731" i="33"/>
  <c r="G730" i="33" s="1"/>
  <c r="I730" i="33" s="1"/>
  <c r="H926" i="33"/>
  <c r="I922" i="33"/>
  <c r="G919" i="33"/>
  <c r="G918" i="33" s="1"/>
  <c r="G868" i="33"/>
  <c r="G867" i="33" s="1"/>
  <c r="I867" i="33" s="1"/>
  <c r="I688" i="33"/>
  <c r="H687" i="33"/>
  <c r="I687" i="33" s="1"/>
  <c r="I623" i="33"/>
  <c r="G622" i="33"/>
  <c r="G621" i="33" s="1"/>
  <c r="I613" i="33"/>
  <c r="H612" i="33"/>
  <c r="I612" i="33" s="1"/>
  <c r="G609" i="33"/>
  <c r="I609" i="33" s="1"/>
  <c r="I610" i="33"/>
  <c r="I590" i="33"/>
  <c r="G589" i="33"/>
  <c r="G588" i="33" s="1"/>
  <c r="G584" i="33" s="1"/>
  <c r="G583" i="33" s="1"/>
  <c r="G582" i="33" s="1"/>
  <c r="I580" i="33"/>
  <c r="H579" i="33"/>
  <c r="I579" i="33" s="1"/>
  <c r="G539" i="33"/>
  <c r="I539" i="33" s="1"/>
  <c r="I540" i="33"/>
  <c r="I509" i="33"/>
  <c r="H508" i="33"/>
  <c r="H507" i="33" s="1"/>
  <c r="I406" i="33"/>
  <c r="H405" i="33"/>
  <c r="I405" i="33" s="1"/>
  <c r="I290" i="33"/>
  <c r="G289" i="33"/>
  <c r="G288" i="33" s="1"/>
  <c r="G287" i="33" s="1"/>
  <c r="G286" i="33" s="1"/>
  <c r="G285" i="33" s="1"/>
  <c r="G212" i="33"/>
  <c r="I212" i="33" s="1"/>
  <c r="I213" i="33"/>
  <c r="I190" i="33"/>
  <c r="I71" i="33"/>
  <c r="H70" i="33"/>
  <c r="I70" i="33" s="1"/>
  <c r="G864" i="33"/>
  <c r="G863" i="33" s="1"/>
  <c r="I863" i="33" s="1"/>
  <c r="I650" i="33"/>
  <c r="G649" i="33"/>
  <c r="G648" i="33" s="1"/>
  <c r="I518" i="33"/>
  <c r="G517" i="33"/>
  <c r="I517" i="33" s="1"/>
  <c r="I173" i="33"/>
  <c r="G172" i="33"/>
  <c r="G171" i="33" s="1"/>
  <c r="G1006" i="33"/>
  <c r="G1005" i="33" s="1"/>
  <c r="G1003" i="33"/>
  <c r="G1002" i="33" s="1"/>
  <c r="I1002" i="33" s="1"/>
  <c r="G959" i="33"/>
  <c r="G958" i="33" s="1"/>
  <c r="G957" i="33" s="1"/>
  <c r="G956" i="33" s="1"/>
  <c r="G955" i="33" s="1"/>
  <c r="G954" i="33" s="1"/>
  <c r="H944" i="33"/>
  <c r="H940" i="33" s="1"/>
  <c r="G837" i="33"/>
  <c r="I837" i="33" s="1"/>
  <c r="G835" i="33"/>
  <c r="I835" i="33" s="1"/>
  <c r="G832" i="33"/>
  <c r="G831" i="33" s="1"/>
  <c r="H812" i="33"/>
  <c r="I812" i="33" s="1"/>
  <c r="H787" i="33"/>
  <c r="H786" i="33" s="1"/>
  <c r="I729" i="33"/>
  <c r="G728" i="33"/>
  <c r="G727" i="33" s="1"/>
  <c r="I711" i="33"/>
  <c r="G709" i="33"/>
  <c r="G708" i="33" s="1"/>
  <c r="G707" i="33" s="1"/>
  <c r="G706" i="33" s="1"/>
  <c r="H681" i="33"/>
  <c r="I681" i="33" s="1"/>
  <c r="I682" i="33"/>
  <c r="I664" i="33"/>
  <c r="G663" i="33"/>
  <c r="G662" i="33" s="1"/>
  <c r="I653" i="33"/>
  <c r="G652" i="33"/>
  <c r="I652" i="33" s="1"/>
  <c r="G607" i="33"/>
  <c r="G606" i="33" s="1"/>
  <c r="I606" i="33" s="1"/>
  <c r="I608" i="33"/>
  <c r="I520" i="33"/>
  <c r="G519" i="33"/>
  <c r="G471" i="33"/>
  <c r="I471" i="33" s="1"/>
  <c r="I472" i="33"/>
  <c r="G459" i="33"/>
  <c r="I459" i="33" s="1"/>
  <c r="I460" i="33"/>
  <c r="I434" i="33"/>
  <c r="G433" i="33"/>
  <c r="G432" i="33" s="1"/>
  <c r="I349" i="33"/>
  <c r="H348" i="33"/>
  <c r="H347" i="33" s="1"/>
  <c r="I335" i="33"/>
  <c r="H334" i="33"/>
  <c r="G278" i="33"/>
  <c r="G277" i="33" s="1"/>
  <c r="G276" i="33" s="1"/>
  <c r="G275" i="33" s="1"/>
  <c r="G274" i="33" s="1"/>
  <c r="I279" i="33"/>
  <c r="G180" i="33"/>
  <c r="G179" i="33" s="1"/>
  <c r="I181" i="33"/>
  <c r="I176" i="33"/>
  <c r="G175" i="33"/>
  <c r="I175" i="33" s="1"/>
  <c r="G138" i="33"/>
  <c r="I138" i="33" s="1"/>
  <c r="I139" i="33"/>
  <c r="I84" i="33"/>
  <c r="G83" i="33"/>
  <c r="G82" i="33" s="1"/>
  <c r="G81" i="33" s="1"/>
  <c r="I58" i="33"/>
  <c r="G57" i="33"/>
  <c r="I57" i="33" s="1"/>
  <c r="I144" i="33"/>
  <c r="G143" i="33"/>
  <c r="G142" i="33" s="1"/>
  <c r="G141" i="33" s="1"/>
  <c r="I55" i="33"/>
  <c r="G54" i="33"/>
  <c r="I54" i="33" s="1"/>
  <c r="I989" i="33"/>
  <c r="I970" i="33"/>
  <c r="I943" i="33"/>
  <c r="G887" i="33"/>
  <c r="I537" i="33"/>
  <c r="H536" i="33"/>
  <c r="I536" i="33" s="1"/>
  <c r="G484" i="33"/>
  <c r="G483" i="33" s="1"/>
  <c r="I455" i="33"/>
  <c r="G454" i="33"/>
  <c r="G453" i="33" s="1"/>
  <c r="G452" i="33" s="1"/>
  <c r="G386" i="33"/>
  <c r="G383" i="33" s="1"/>
  <c r="I387" i="33"/>
  <c r="I149" i="33"/>
  <c r="G148" i="33"/>
  <c r="G147" i="33" s="1"/>
  <c r="G146" i="33" s="1"/>
  <c r="I679" i="33"/>
  <c r="I667" i="33"/>
  <c r="I642" i="33"/>
  <c r="H594" i="33"/>
  <c r="I594" i="33" s="1"/>
  <c r="I581" i="33"/>
  <c r="I75" i="33"/>
  <c r="I72" i="33"/>
  <c r="I66" i="33"/>
  <c r="H56" i="33"/>
  <c r="I527" i="33"/>
  <c r="H260" i="33"/>
  <c r="I192" i="33"/>
  <c r="I24" i="33"/>
  <c r="H565" i="33"/>
  <c r="H561" i="33" s="1"/>
  <c r="H560" i="33" s="1"/>
  <c r="H133" i="33"/>
  <c r="H132" i="33" s="1"/>
  <c r="H131" i="33" s="1"/>
  <c r="H130" i="33" s="1"/>
  <c r="H129" i="33" s="1"/>
  <c r="H128" i="33" s="1"/>
  <c r="I68" i="33"/>
  <c r="G162" i="21"/>
  <c r="G129" i="21"/>
  <c r="G122" i="21"/>
  <c r="G97" i="21"/>
  <c r="G62" i="21"/>
  <c r="G58" i="21" s="1"/>
  <c r="G57" i="21" s="1"/>
  <c r="G42" i="21"/>
  <c r="G37" i="21"/>
  <c r="H992" i="33"/>
  <c r="I993" i="33"/>
  <c r="I977" i="33"/>
  <c r="G976" i="33"/>
  <c r="G983" i="33"/>
  <c r="I984" i="33"/>
  <c r="H966" i="33"/>
  <c r="H1011" i="33"/>
  <c r="I1012" i="33"/>
  <c r="G986" i="33"/>
  <c r="I987" i="33"/>
  <c r="H973" i="33"/>
  <c r="H885" i="33"/>
  <c r="G779" i="33"/>
  <c r="I780" i="33"/>
  <c r="I685" i="33"/>
  <c r="H684" i="33"/>
  <c r="I684" i="33" s="1"/>
  <c r="H950" i="33"/>
  <c r="I951" i="33"/>
  <c r="G932" i="33"/>
  <c r="I933" i="33"/>
  <c r="H913" i="33"/>
  <c r="G894" i="33"/>
  <c r="I895" i="33"/>
  <c r="H862" i="33"/>
  <c r="H834" i="33"/>
  <c r="H817" i="33"/>
  <c r="H807" i="33"/>
  <c r="I804" i="33"/>
  <c r="G784" i="33"/>
  <c r="I784" i="33" s="1"/>
  <c r="I785" i="33"/>
  <c r="H770" i="33"/>
  <c r="I770" i="33" s="1"/>
  <c r="I771" i="33"/>
  <c r="H726" i="33"/>
  <c r="G600" i="33"/>
  <c r="I600" i="33" s="1"/>
  <c r="I601" i="33"/>
  <c r="H477" i="33"/>
  <c r="I477" i="33" s="1"/>
  <c r="I478" i="33"/>
  <c r="H445" i="33"/>
  <c r="I446" i="33"/>
  <c r="H957" i="33"/>
  <c r="I927" i="33"/>
  <c r="H919" i="33"/>
  <c r="I920" i="33"/>
  <c r="H897" i="33"/>
  <c r="I897" i="33" s="1"/>
  <c r="I898" i="33"/>
  <c r="H876" i="33"/>
  <c r="H734" i="33"/>
  <c r="H722" i="33"/>
  <c r="I978" i="33"/>
  <c r="I952" i="33"/>
  <c r="I936" i="33"/>
  <c r="G929" i="33"/>
  <c r="I929" i="33" s="1"/>
  <c r="I930" i="33"/>
  <c r="G914" i="33"/>
  <c r="G913" i="33" s="1"/>
  <c r="G908" i="33" s="1"/>
  <c r="H909" i="33"/>
  <c r="I910" i="33"/>
  <c r="H831" i="33"/>
  <c r="H822" i="33"/>
  <c r="I823" i="33"/>
  <c r="G790" i="33"/>
  <c r="I790" i="33" s="1"/>
  <c r="I791" i="33"/>
  <c r="H767" i="33"/>
  <c r="I767" i="33" s="1"/>
  <c r="I768" i="33"/>
  <c r="H762" i="33"/>
  <c r="I763" i="33"/>
  <c r="G752" i="33"/>
  <c r="G751" i="33" s="1"/>
  <c r="I753" i="33"/>
  <c r="I666" i="33"/>
  <c r="G603" i="33"/>
  <c r="I603" i="33" s="1"/>
  <c r="I604" i="33"/>
  <c r="G331" i="33"/>
  <c r="G330" i="33" s="1"/>
  <c r="I332" i="33"/>
  <c r="G717" i="33"/>
  <c r="I718" i="33"/>
  <c r="I1013" i="33"/>
  <c r="I1009" i="33"/>
  <c r="I994" i="33"/>
  <c r="I988" i="33"/>
  <c r="I985" i="33"/>
  <c r="I948" i="33"/>
  <c r="G944" i="33"/>
  <c r="H903" i="33"/>
  <c r="I904" i="33"/>
  <c r="G856" i="33"/>
  <c r="I857" i="33"/>
  <c r="H853" i="33"/>
  <c r="H848" i="33"/>
  <c r="I848" i="33" s="1"/>
  <c r="I849" i="33"/>
  <c r="I845" i="33"/>
  <c r="I808" i="33"/>
  <c r="I805" i="33"/>
  <c r="H795" i="33"/>
  <c r="I796" i="33"/>
  <c r="I748" i="33"/>
  <c r="H744" i="33"/>
  <c r="I745" i="33"/>
  <c r="H737" i="33"/>
  <c r="H707" i="33"/>
  <c r="I693" i="33"/>
  <c r="G678" i="33"/>
  <c r="G677" i="33" s="1"/>
  <c r="G676" i="33" s="1"/>
  <c r="G665" i="33" s="1"/>
  <c r="H621" i="33"/>
  <c r="I465" i="33"/>
  <c r="I782" i="33"/>
  <c r="G654" i="33"/>
  <c r="I654" i="33" s="1"/>
  <c r="I655" i="33"/>
  <c r="H618" i="33"/>
  <c r="I619" i="33"/>
  <c r="H591" i="33"/>
  <c r="I591" i="33" s="1"/>
  <c r="I592" i="33"/>
  <c r="G556" i="33"/>
  <c r="I557" i="33"/>
  <c r="G553" i="33"/>
  <c r="I554" i="33"/>
  <c r="G491" i="33"/>
  <c r="I492" i="33"/>
  <c r="H474" i="33"/>
  <c r="H324" i="33"/>
  <c r="I325" i="33"/>
  <c r="H162" i="33"/>
  <c r="I163" i="33"/>
  <c r="I883" i="33"/>
  <c r="I872" i="33"/>
  <c r="I869" i="33"/>
  <c r="I846" i="33"/>
  <c r="I840" i="33"/>
  <c r="I824" i="33"/>
  <c r="I809" i="33"/>
  <c r="I806" i="33"/>
  <c r="I797" i="33"/>
  <c r="I793" i="33"/>
  <c r="I788" i="33"/>
  <c r="I758" i="33"/>
  <c r="I755" i="33"/>
  <c r="I749" i="33"/>
  <c r="G700" i="33"/>
  <c r="I701" i="33"/>
  <c r="G639" i="33"/>
  <c r="I640" i="33"/>
  <c r="G636" i="33"/>
  <c r="I637" i="33"/>
  <c r="G633" i="33"/>
  <c r="I634" i="33"/>
  <c r="H627" i="33"/>
  <c r="H588" i="33"/>
  <c r="G563" i="33"/>
  <c r="I564" i="33"/>
  <c r="I515" i="33"/>
  <c r="H499" i="33"/>
  <c r="G494" i="33"/>
  <c r="I495" i="33"/>
  <c r="I469" i="33"/>
  <c r="I466" i="33"/>
  <c r="H456" i="33"/>
  <c r="I456" i="33" s="1"/>
  <c r="I457" i="33"/>
  <c r="G435" i="33"/>
  <c r="I435" i="33" s="1"/>
  <c r="I436" i="33"/>
  <c r="H399" i="33"/>
  <c r="I399" i="33" s="1"/>
  <c r="I400" i="33"/>
  <c r="H715" i="33"/>
  <c r="H662" i="33"/>
  <c r="H661" i="33" s="1"/>
  <c r="H660" i="33" s="1"/>
  <c r="H659" i="33" s="1"/>
  <c r="H624" i="33"/>
  <c r="I624" i="33" s="1"/>
  <c r="I625" i="33"/>
  <c r="H585" i="33"/>
  <c r="I586" i="33"/>
  <c r="H572" i="33"/>
  <c r="I573" i="33"/>
  <c r="G566" i="33"/>
  <c r="I567" i="33"/>
  <c r="H533" i="33"/>
  <c r="I533" i="33" s="1"/>
  <c r="I534" i="33"/>
  <c r="I530" i="33"/>
  <c r="G525" i="33"/>
  <c r="I526" i="33"/>
  <c r="G500" i="33"/>
  <c r="G499" i="33" s="1"/>
  <c r="G498" i="33" s="1"/>
  <c r="I501" i="33"/>
  <c r="H453" i="33"/>
  <c r="G438" i="33"/>
  <c r="I438" i="33" s="1"/>
  <c r="I439" i="33"/>
  <c r="H375" i="33"/>
  <c r="I376" i="33"/>
  <c r="H310" i="33"/>
  <c r="I311" i="33"/>
  <c r="G306" i="33"/>
  <c r="H302" i="33"/>
  <c r="I303" i="33"/>
  <c r="H295" i="33"/>
  <c r="H288" i="33"/>
  <c r="H234" i="33"/>
  <c r="G217" i="33"/>
  <c r="G216" i="33" s="1"/>
  <c r="G215" i="33" s="1"/>
  <c r="I218" i="33"/>
  <c r="G15" i="33"/>
  <c r="G14" i="33" s="1"/>
  <c r="G13" i="33" s="1"/>
  <c r="G12" i="33" s="1"/>
  <c r="I16" i="33"/>
  <c r="I695" i="33"/>
  <c r="I686" i="33"/>
  <c r="I683" i="33"/>
  <c r="I680" i="33"/>
  <c r="I669" i="33"/>
  <c r="I602" i="33"/>
  <c r="I550" i="33"/>
  <c r="I547" i="33"/>
  <c r="I531" i="33"/>
  <c r="I516" i="33"/>
  <c r="I470" i="33"/>
  <c r="I467" i="33"/>
  <c r="I447" i="33"/>
  <c r="I417" i="33"/>
  <c r="G413" i="33"/>
  <c r="I413" i="33" s="1"/>
  <c r="I414" i="33"/>
  <c r="H388" i="33"/>
  <c r="I389" i="33"/>
  <c r="H383" i="33"/>
  <c r="I380" i="33"/>
  <c r="H341" i="33"/>
  <c r="I342" i="33"/>
  <c r="H281" i="33"/>
  <c r="I282" i="33"/>
  <c r="G37" i="33"/>
  <c r="I38" i="33"/>
  <c r="H426" i="33"/>
  <c r="H402" i="33"/>
  <c r="I402" i="33" s="1"/>
  <c r="I403" i="33"/>
  <c r="I396" i="33"/>
  <c r="H369" i="33"/>
  <c r="I370" i="33"/>
  <c r="G362" i="33"/>
  <c r="I362" i="33" s="1"/>
  <c r="I363" i="33"/>
  <c r="I356" i="33"/>
  <c r="H330" i="33"/>
  <c r="H316" i="33"/>
  <c r="I317" i="33"/>
  <c r="I257" i="33"/>
  <c r="H179" i="33"/>
  <c r="H174" i="33"/>
  <c r="G115" i="33"/>
  <c r="G114" i="33" s="1"/>
  <c r="I114" i="33" s="1"/>
  <c r="I116" i="33"/>
  <c r="I390" i="33"/>
  <c r="I350" i="33"/>
  <c r="H276" i="33"/>
  <c r="H241" i="33"/>
  <c r="G235" i="33"/>
  <c r="G234" i="33" s="1"/>
  <c r="G233" i="33" s="1"/>
  <c r="G232" i="33" s="1"/>
  <c r="I236" i="33"/>
  <c r="G197" i="33"/>
  <c r="I198" i="33"/>
  <c r="H194" i="33"/>
  <c r="H187" i="33"/>
  <c r="H171" i="33"/>
  <c r="G136" i="33"/>
  <c r="I136" i="33" s="1"/>
  <c r="I137" i="33"/>
  <c r="H125" i="33"/>
  <c r="H107" i="33"/>
  <c r="I107" i="33" s="1"/>
  <c r="I108" i="33"/>
  <c r="H104" i="33"/>
  <c r="I104" i="33" s="1"/>
  <c r="I105" i="33"/>
  <c r="I419" i="33"/>
  <c r="I416" i="33"/>
  <c r="I411" i="33"/>
  <c r="I407" i="33"/>
  <c r="I397" i="33"/>
  <c r="I385" i="33"/>
  <c r="I382" i="33"/>
  <c r="I377" i="33"/>
  <c r="I371" i="33"/>
  <c r="I360" i="33"/>
  <c r="I357" i="33"/>
  <c r="I333" i="33"/>
  <c r="I318" i="33"/>
  <c r="I312" i="33"/>
  <c r="I261" i="33"/>
  <c r="I258" i="33"/>
  <c r="H248" i="33"/>
  <c r="I249" i="33"/>
  <c r="G188" i="33"/>
  <c r="I189" i="33"/>
  <c r="H168" i="33"/>
  <c r="H229" i="33"/>
  <c r="I230" i="33"/>
  <c r="G225" i="33"/>
  <c r="I226" i="33"/>
  <c r="H222" i="33"/>
  <c r="H216" i="33"/>
  <c r="G210" i="33"/>
  <c r="I210" i="33" s="1"/>
  <c r="I211" i="33"/>
  <c r="I204" i="33"/>
  <c r="H141" i="33"/>
  <c r="H110" i="33"/>
  <c r="H92" i="33"/>
  <c r="I92" i="33" s="1"/>
  <c r="I93" i="33"/>
  <c r="G64" i="33"/>
  <c r="G63" i="33" s="1"/>
  <c r="I65" i="33"/>
  <c r="H21" i="33"/>
  <c r="I22" i="33"/>
  <c r="H117" i="33"/>
  <c r="H95" i="33"/>
  <c r="I95" i="33" s="1"/>
  <c r="I96" i="33"/>
  <c r="H63" i="33"/>
  <c r="H41" i="33"/>
  <c r="I42" i="33"/>
  <c r="I283" i="33"/>
  <c r="I262" i="33"/>
  <c r="I259" i="33"/>
  <c r="I250" i="33"/>
  <c r="I208" i="33"/>
  <c r="I205" i="33"/>
  <c r="I191" i="33"/>
  <c r="H98" i="33"/>
  <c r="I98" i="33" s="1"/>
  <c r="I99" i="33"/>
  <c r="H86" i="33"/>
  <c r="I87" i="33"/>
  <c r="H81" i="33"/>
  <c r="I74" i="33"/>
  <c r="H49" i="33"/>
  <c r="I31" i="33"/>
  <c r="H151" i="33"/>
  <c r="G112" i="33"/>
  <c r="G111" i="33" s="1"/>
  <c r="I113" i="33"/>
  <c r="H101" i="33"/>
  <c r="I101" i="33" s="1"/>
  <c r="I102" i="33"/>
  <c r="H89" i="33"/>
  <c r="I89" i="33" s="1"/>
  <c r="I90" i="33"/>
  <c r="G85" i="33"/>
  <c r="G59" i="33"/>
  <c r="I59" i="33" s="1"/>
  <c r="I60" i="33"/>
  <c r="I43" i="33"/>
  <c r="H34" i="33"/>
  <c r="H14" i="33"/>
  <c r="I106" i="33"/>
  <c r="I103" i="33"/>
  <c r="I100" i="33"/>
  <c r="I97" i="33"/>
  <c r="I94" i="33"/>
  <c r="I91" i="33"/>
  <c r="I88" i="33"/>
  <c r="I53" i="33"/>
  <c r="I23" i="33"/>
  <c r="I67" i="33"/>
  <c r="I51" i="33"/>
  <c r="I44" i="33"/>
  <c r="I32" i="33"/>
  <c r="I27" i="33"/>
  <c r="I17" i="33"/>
  <c r="H27" i="21"/>
  <c r="H55" i="21"/>
  <c r="H76" i="21"/>
  <c r="H79" i="21"/>
  <c r="H121" i="21"/>
  <c r="H161" i="21"/>
  <c r="H168" i="21"/>
  <c r="H187" i="21"/>
  <c r="H233" i="21"/>
  <c r="H239" i="21"/>
  <c r="H259" i="21"/>
  <c r="H265" i="21"/>
  <c r="H300" i="21"/>
  <c r="H303" i="21"/>
  <c r="H321" i="21"/>
  <c r="H358" i="21"/>
  <c r="H391" i="21"/>
  <c r="H394" i="21"/>
  <c r="H400" i="21"/>
  <c r="H403" i="21"/>
  <c r="H417" i="21"/>
  <c r="H425" i="21"/>
  <c r="H438" i="21"/>
  <c r="H467" i="21"/>
  <c r="H512" i="21"/>
  <c r="H516" i="21"/>
  <c r="H542" i="21"/>
  <c r="H552" i="21"/>
  <c r="H558" i="21"/>
  <c r="H570" i="21"/>
  <c r="H575" i="21"/>
  <c r="H580" i="21"/>
  <c r="H582" i="21"/>
  <c r="H588" i="21"/>
  <c r="H589" i="21"/>
  <c r="H602" i="21"/>
  <c r="H623" i="21"/>
  <c r="H638" i="21"/>
  <c r="H643" i="21"/>
  <c r="H661" i="21"/>
  <c r="H664" i="21"/>
  <c r="H676" i="21"/>
  <c r="H682" i="21"/>
  <c r="H685" i="21"/>
  <c r="H709" i="21"/>
  <c r="H716" i="21"/>
  <c r="H721" i="21"/>
  <c r="H730" i="21"/>
  <c r="H745" i="21"/>
  <c r="H758" i="21"/>
  <c r="H766" i="21"/>
  <c r="H776" i="21"/>
  <c r="H778" i="21"/>
  <c r="H783" i="21"/>
  <c r="G15" i="21"/>
  <c r="G752" i="21" l="1"/>
  <c r="G480" i="21"/>
  <c r="G479" i="21" s="1"/>
  <c r="G478" i="21" s="1"/>
  <c r="G666" i="21"/>
  <c r="G665" i="21" s="1"/>
  <c r="G147" i="21"/>
  <c r="G146" i="21" s="1"/>
  <c r="G145" i="21" s="1"/>
  <c r="G281" i="21"/>
  <c r="G191" i="21"/>
  <c r="G190" i="21" s="1"/>
  <c r="G189" i="21" s="1"/>
  <c r="G188" i="21" s="1"/>
  <c r="G354" i="21"/>
  <c r="G353" i="21" s="1"/>
  <c r="G352" i="21" s="1"/>
  <c r="H844" i="33"/>
  <c r="G26" i="33"/>
  <c r="G20" i="33" s="1"/>
  <c r="G19" i="33" s="1"/>
  <c r="G18" i="33" s="1"/>
  <c r="G661" i="33"/>
  <c r="G660" i="33" s="1"/>
  <c r="G659" i="33" s="1"/>
  <c r="H523" i="33"/>
  <c r="H522" i="33" s="1"/>
  <c r="H464" i="33"/>
  <c r="H599" i="33"/>
  <c r="H598" i="33" s="1"/>
  <c r="G464" i="33"/>
  <c r="H483" i="33"/>
  <c r="I483" i="33" s="1"/>
  <c r="I484" i="33"/>
  <c r="I967" i="33"/>
  <c r="G117" i="33"/>
  <c r="I117" i="33" s="1"/>
  <c r="I394" i="33"/>
  <c r="I242" i="33"/>
  <c r="I944" i="33"/>
  <c r="I391" i="33"/>
  <c r="I142" i="33"/>
  <c r="I366" i="33"/>
  <c r="I427" i="33"/>
  <c r="I153" i="33"/>
  <c r="I331" i="33"/>
  <c r="I433" i="33"/>
  <c r="I179" i="33"/>
  <c r="I868" i="33"/>
  <c r="I243" i="33"/>
  <c r="I882" i="33"/>
  <c r="I986" i="33"/>
  <c r="I271" i="33"/>
  <c r="H578" i="33"/>
  <c r="H577" i="33" s="1"/>
  <c r="I143" i="33"/>
  <c r="I723" i="33"/>
  <c r="G876" i="33"/>
  <c r="I876" i="33" s="1"/>
  <c r="I628" i="33"/>
  <c r="I1005" i="33"/>
  <c r="I627" i="33"/>
  <c r="I735" i="33"/>
  <c r="G617" i="33"/>
  <c r="G616" i="33" s="1"/>
  <c r="G615" i="33" s="1"/>
  <c r="I122" i="33"/>
  <c r="I15" i="33"/>
  <c r="I673" i="33"/>
  <c r="I607" i="33"/>
  <c r="G514" i="33"/>
  <c r="G513" i="33" s="1"/>
  <c r="G512" i="33" s="1"/>
  <c r="G511" i="33" s="1"/>
  <c r="I663" i="33"/>
  <c r="I1006" i="33"/>
  <c r="I260" i="33"/>
  <c r="I119" i="33"/>
  <c r="I217" i="33"/>
  <c r="I731" i="33"/>
  <c r="I621" i="33"/>
  <c r="I708" i="33"/>
  <c r="G726" i="33"/>
  <c r="I168" i="33"/>
  <c r="I543" i="33"/>
  <c r="I818" i="33"/>
  <c r="I172" i="33"/>
  <c r="I180" i="33"/>
  <c r="I365" i="33"/>
  <c r="G800" i="33"/>
  <c r="G799" i="33" s="1"/>
  <c r="I589" i="33"/>
  <c r="I878" i="33"/>
  <c r="I475" i="33"/>
  <c r="I737" i="33"/>
  <c r="G329" i="33"/>
  <c r="G328" i="33" s="1"/>
  <c r="G327" i="33" s="1"/>
  <c r="G320" i="33" s="1"/>
  <c r="G305" i="33" s="1"/>
  <c r="I1003" i="33"/>
  <c r="I334" i="33"/>
  <c r="I147" i="33"/>
  <c r="I738" i="33"/>
  <c r="I169" i="33"/>
  <c r="I126" i="33"/>
  <c r="I450" i="33"/>
  <c r="I296" i="33"/>
  <c r="I454" i="33"/>
  <c r="I588" i="33"/>
  <c r="I474" i="33"/>
  <c r="G862" i="33"/>
  <c r="G861" i="33" s="1"/>
  <c r="G860" i="33" s="1"/>
  <c r="I807" i="33"/>
  <c r="I278" i="33"/>
  <c r="G379" i="33"/>
  <c r="G151" i="33"/>
  <c r="G150" i="33" s="1"/>
  <c r="G145" i="33" s="1"/>
  <c r="G140" i="33" s="1"/>
  <c r="I148" i="33"/>
  <c r="I155" i="33"/>
  <c r="I141" i="33"/>
  <c r="H256" i="33"/>
  <c r="I256" i="33" s="1"/>
  <c r="I386" i="33"/>
  <c r="G253" i="33"/>
  <c r="G252" i="33" s="1"/>
  <c r="I765" i="33"/>
  <c r="I156" i="33"/>
  <c r="I388" i="33"/>
  <c r="I710" i="33"/>
  <c r="I519" i="33"/>
  <c r="I662" i="33"/>
  <c r="I709" i="33"/>
  <c r="I968" i="33"/>
  <c r="I83" i="33"/>
  <c r="G174" i="33"/>
  <c r="G167" i="33" s="1"/>
  <c r="G166" i="33" s="1"/>
  <c r="G165" i="33" s="1"/>
  <c r="G158" i="33" s="1"/>
  <c r="G410" i="33"/>
  <c r="G409" i="33" s="1"/>
  <c r="G408" i="33" s="1"/>
  <c r="I508" i="33"/>
  <c r="G651" i="33"/>
  <c r="I651" i="33" s="1"/>
  <c r="I728" i="33"/>
  <c r="G444" i="33"/>
  <c r="G443" i="33" s="1"/>
  <c r="G442" i="33" s="1"/>
  <c r="I958" i="33"/>
  <c r="G1001" i="33"/>
  <c r="G1000" i="33" s="1"/>
  <c r="G999" i="33" s="1"/>
  <c r="G998" i="33" s="1"/>
  <c r="G997" i="33" s="1"/>
  <c r="G834" i="33"/>
  <c r="G830" i="33" s="1"/>
  <c r="G829" i="33" s="1"/>
  <c r="G828" i="33" s="1"/>
  <c r="G827" i="33" s="1"/>
  <c r="I277" i="33"/>
  <c r="I289" i="33"/>
  <c r="I864" i="33"/>
  <c r="I622" i="33"/>
  <c r="G787" i="33"/>
  <c r="G786" i="33" s="1"/>
  <c r="I786" i="33" s="1"/>
  <c r="I832" i="33"/>
  <c r="I959" i="33"/>
  <c r="I727" i="33"/>
  <c r="G717" i="21"/>
  <c r="G710" i="21" s="1"/>
  <c r="G559" i="21"/>
  <c r="G317" i="21"/>
  <c r="G316" i="21" s="1"/>
  <c r="G240" i="21"/>
  <c r="G235" i="21" s="1"/>
  <c r="G234" i="21" s="1"/>
  <c r="G92" i="21"/>
  <c r="G36" i="21"/>
  <c r="G35" i="21" s="1"/>
  <c r="G28" i="21" s="1"/>
  <c r="G594" i="21"/>
  <c r="G584" i="21" s="1"/>
  <c r="G583" i="21" s="1"/>
  <c r="G458" i="21"/>
  <c r="G384" i="21"/>
  <c r="I887" i="33"/>
  <c r="G886" i="33"/>
  <c r="G133" i="33"/>
  <c r="G132" i="33" s="1"/>
  <c r="I649" i="33"/>
  <c r="I64" i="33"/>
  <c r="G49" i="33"/>
  <c r="I82" i="33"/>
  <c r="I348" i="33"/>
  <c r="I63" i="33"/>
  <c r="I678" i="33"/>
  <c r="G56" i="21"/>
  <c r="I81" i="33"/>
  <c r="H40" i="33"/>
  <c r="I41" i="33"/>
  <c r="H329" i="33"/>
  <c r="I330" i="33"/>
  <c r="H425" i="33"/>
  <c r="I426" i="33"/>
  <c r="I383" i="33"/>
  <c r="H301" i="33"/>
  <c r="I302" i="33"/>
  <c r="I375" i="33"/>
  <c r="G565" i="33"/>
  <c r="I565" i="33" s="1"/>
  <c r="I566" i="33"/>
  <c r="H584" i="33"/>
  <c r="I585" i="33"/>
  <c r="G632" i="33"/>
  <c r="I633" i="33"/>
  <c r="G699" i="33"/>
  <c r="I700" i="33"/>
  <c r="H323" i="33"/>
  <c r="I324" i="33"/>
  <c r="H902" i="33"/>
  <c r="I903" i="33"/>
  <c r="H559" i="33"/>
  <c r="H761" i="33"/>
  <c r="I762" i="33"/>
  <c r="I822" i="33"/>
  <c r="H821" i="33"/>
  <c r="H775" i="33"/>
  <c r="H13" i="33"/>
  <c r="I14" i="33"/>
  <c r="G110" i="33"/>
  <c r="H215" i="33"/>
  <c r="I215" i="33" s="1"/>
  <c r="I216" i="33"/>
  <c r="G56" i="33"/>
  <c r="I56" i="33" s="1"/>
  <c r="H167" i="33"/>
  <c r="I171" i="33"/>
  <c r="G493" i="33"/>
  <c r="I493" i="33" s="1"/>
  <c r="I494" i="33"/>
  <c r="G926" i="33"/>
  <c r="H487" i="33"/>
  <c r="G893" i="33"/>
  <c r="I894" i="33"/>
  <c r="H965" i="33"/>
  <c r="I965" i="33" s="1"/>
  <c r="I966" i="33"/>
  <c r="I112" i="33"/>
  <c r="H85" i="33"/>
  <c r="I85" i="33" s="1"/>
  <c r="I86" i="33"/>
  <c r="I111" i="33"/>
  <c r="H186" i="33"/>
  <c r="G196" i="33"/>
  <c r="I197" i="33"/>
  <c r="I241" i="33"/>
  <c r="H240" i="33"/>
  <c r="G207" i="33"/>
  <c r="H315" i="33"/>
  <c r="I316" i="33"/>
  <c r="H354" i="33"/>
  <c r="G36" i="33"/>
  <c r="I37" i="33"/>
  <c r="I281" i="33"/>
  <c r="H280" i="33"/>
  <c r="I280" i="33" s="1"/>
  <c r="H233" i="33"/>
  <c r="I234" i="33"/>
  <c r="H294" i="33"/>
  <c r="I295" i="33"/>
  <c r="G431" i="33"/>
  <c r="I432" i="33"/>
  <c r="I364" i="33"/>
  <c r="H571" i="33"/>
  <c r="I572" i="33"/>
  <c r="I500" i="33"/>
  <c r="G562" i="33"/>
  <c r="I563" i="33"/>
  <c r="G635" i="33"/>
  <c r="I635" i="33" s="1"/>
  <c r="I636" i="33"/>
  <c r="I648" i="33"/>
  <c r="H646" i="33"/>
  <c r="H161" i="33"/>
  <c r="I162" i="33"/>
  <c r="G490" i="33"/>
  <c r="I491" i="33"/>
  <c r="G552" i="33"/>
  <c r="I553" i="33"/>
  <c r="I692" i="33"/>
  <c r="I717" i="33"/>
  <c r="G716" i="33"/>
  <c r="I752" i="33"/>
  <c r="H830" i="33"/>
  <c r="I831" i="33"/>
  <c r="H908" i="33"/>
  <c r="I909" i="33"/>
  <c r="H733" i="33"/>
  <c r="H721" i="33" s="1"/>
  <c r="I734" i="33"/>
  <c r="H956" i="33"/>
  <c r="I957" i="33"/>
  <c r="H816" i="33"/>
  <c r="I817" i="33"/>
  <c r="H861" i="33"/>
  <c r="I914" i="33"/>
  <c r="H1000" i="33"/>
  <c r="I983" i="33"/>
  <c r="G982" i="33"/>
  <c r="H150" i="33"/>
  <c r="H145" i="33" s="1"/>
  <c r="H202" i="33"/>
  <c r="H275" i="33"/>
  <c r="I276" i="33"/>
  <c r="H269" i="33"/>
  <c r="I270" i="33"/>
  <c r="H340" i="33"/>
  <c r="I341" i="33"/>
  <c r="H287" i="33"/>
  <c r="I288" i="33"/>
  <c r="G638" i="33"/>
  <c r="I638" i="33" s="1"/>
  <c r="I639" i="33"/>
  <c r="G555" i="33"/>
  <c r="I555" i="33" s="1"/>
  <c r="I556" i="33"/>
  <c r="I722" i="33"/>
  <c r="I445" i="33"/>
  <c r="G975" i="33"/>
  <c r="I976" i="33"/>
  <c r="H48" i="33"/>
  <c r="H20" i="33"/>
  <c r="I21" i="33"/>
  <c r="G224" i="33"/>
  <c r="I225" i="33"/>
  <c r="G187" i="33"/>
  <c r="G186" i="33" s="1"/>
  <c r="G185" i="33" s="1"/>
  <c r="G184" i="33" s="1"/>
  <c r="I188" i="33"/>
  <c r="H408" i="33"/>
  <c r="I235" i="33"/>
  <c r="H346" i="33"/>
  <c r="I347" i="33"/>
  <c r="H677" i="33"/>
  <c r="H714" i="33"/>
  <c r="H617" i="33"/>
  <c r="I618" i="33"/>
  <c r="G855" i="33"/>
  <c r="I856" i="33"/>
  <c r="H671" i="33"/>
  <c r="I672" i="33"/>
  <c r="G599" i="33"/>
  <c r="G598" i="33" s="1"/>
  <c r="G931" i="33"/>
  <c r="I931" i="33" s="1"/>
  <c r="I932" i="33"/>
  <c r="I115" i="33"/>
  <c r="H228" i="33"/>
  <c r="I229" i="33"/>
  <c r="H247" i="33"/>
  <c r="I248" i="33"/>
  <c r="H124" i="33"/>
  <c r="I124" i="33" s="1"/>
  <c r="I125" i="33"/>
  <c r="H368" i="33"/>
  <c r="I368" i="33" s="1"/>
  <c r="I369" i="33"/>
  <c r="H379" i="33"/>
  <c r="I310" i="33"/>
  <c r="H309" i="33"/>
  <c r="H452" i="33"/>
  <c r="I452" i="33" s="1"/>
  <c r="I453" i="33"/>
  <c r="H506" i="33"/>
  <c r="I507" i="33"/>
  <c r="G524" i="33"/>
  <c r="G523" i="33" s="1"/>
  <c r="I525" i="33"/>
  <c r="H696" i="33"/>
  <c r="G359" i="33"/>
  <c r="H498" i="33"/>
  <c r="I498" i="33" s="1"/>
  <c r="I499" i="33"/>
  <c r="I146" i="33"/>
  <c r="H706" i="33"/>
  <c r="I707" i="33"/>
  <c r="H743" i="33"/>
  <c r="I744" i="33"/>
  <c r="H794" i="33"/>
  <c r="I794" i="33" s="1"/>
  <c r="I795" i="33"/>
  <c r="H852" i="33"/>
  <c r="H939" i="33"/>
  <c r="H875" i="33"/>
  <c r="H918" i="33"/>
  <c r="I919" i="33"/>
  <c r="H512" i="33"/>
  <c r="G781" i="33"/>
  <c r="I781" i="33" s="1"/>
  <c r="H803" i="33"/>
  <c r="I913" i="33"/>
  <c r="I950" i="33"/>
  <c r="H949" i="33"/>
  <c r="I949" i="33" s="1"/>
  <c r="G778" i="33"/>
  <c r="I779" i="33"/>
  <c r="I1011" i="33"/>
  <c r="H1010" i="33"/>
  <c r="I1010" i="33" s="1"/>
  <c r="H892" i="33"/>
  <c r="G940" i="33"/>
  <c r="G939" i="33" s="1"/>
  <c r="G938" i="33" s="1"/>
  <c r="I992" i="33"/>
  <c r="H991" i="33"/>
  <c r="I991" i="33" s="1"/>
  <c r="G14" i="21"/>
  <c r="F66" i="21"/>
  <c r="H66" i="21" s="1"/>
  <c r="H177" i="21"/>
  <c r="F505" i="21"/>
  <c r="H505" i="21" s="1"/>
  <c r="F504" i="21"/>
  <c r="H504" i="21" s="1"/>
  <c r="F532" i="21"/>
  <c r="H532" i="21" s="1"/>
  <c r="F531" i="21"/>
  <c r="H531" i="21" s="1"/>
  <c r="G446" i="21" l="1"/>
  <c r="G315" i="21" s="1"/>
  <c r="I26" i="33"/>
  <c r="G91" i="21"/>
  <c r="G200" i="21"/>
  <c r="G498" i="21"/>
  <c r="G80" i="33"/>
  <c r="H463" i="33"/>
  <c r="H462" i="33" s="1"/>
  <c r="G721" i="33"/>
  <c r="G720" i="33" s="1"/>
  <c r="H255" i="33"/>
  <c r="H254" i="33" s="1"/>
  <c r="I151" i="33"/>
  <c r="I726" i="33"/>
  <c r="G131" i="33"/>
  <c r="G130" i="33" s="1"/>
  <c r="G129" i="33" s="1"/>
  <c r="G128" i="33" s="1"/>
  <c r="I408" i="33"/>
  <c r="I578" i="33"/>
  <c r="I513" i="33"/>
  <c r="I514" i="33"/>
  <c r="I733" i="33"/>
  <c r="I379" i="33"/>
  <c r="I862" i="33"/>
  <c r="G374" i="33"/>
  <c r="G373" i="33" s="1"/>
  <c r="I150" i="33"/>
  <c r="I787" i="33"/>
  <c r="I110" i="33"/>
  <c r="I409" i="33"/>
  <c r="I410" i="33"/>
  <c r="I133" i="33"/>
  <c r="I132" i="33"/>
  <c r="G647" i="33"/>
  <c r="G646" i="33" s="1"/>
  <c r="G645" i="33" s="1"/>
  <c r="G644" i="33" s="1"/>
  <c r="I174" i="33"/>
  <c r="H972" i="33"/>
  <c r="H971" i="33" s="1"/>
  <c r="I834" i="33"/>
  <c r="G48" i="33"/>
  <c r="G47" i="33" s="1"/>
  <c r="G46" i="33" s="1"/>
  <c r="I1001" i="33"/>
  <c r="G644" i="21"/>
  <c r="I49" i="33"/>
  <c r="I187" i="33"/>
  <c r="G885" i="33"/>
  <c r="I886" i="33"/>
  <c r="I464" i="33"/>
  <c r="H713" i="33"/>
  <c r="G974" i="33"/>
  <c r="I975" i="33"/>
  <c r="H268" i="33"/>
  <c r="I268" i="33" s="1"/>
  <c r="I269" i="33"/>
  <c r="G195" i="33"/>
  <c r="I196" i="33"/>
  <c r="G892" i="33"/>
  <c r="G891" i="33" s="1"/>
  <c r="G890" i="33" s="1"/>
  <c r="I893" i="33"/>
  <c r="H820" i="33"/>
  <c r="I820" i="33" s="1"/>
  <c r="I821" i="33"/>
  <c r="H374" i="33"/>
  <c r="G854" i="33"/>
  <c r="I855" i="33"/>
  <c r="I287" i="33"/>
  <c r="H286" i="33"/>
  <c r="H274" i="33"/>
  <c r="I274" i="33" s="1"/>
  <c r="I275" i="33"/>
  <c r="H999" i="33"/>
  <c r="I1000" i="33"/>
  <c r="I956" i="33"/>
  <c r="H955" i="33"/>
  <c r="G750" i="33"/>
  <c r="I751" i="33"/>
  <c r="I599" i="33"/>
  <c r="H353" i="33"/>
  <c r="G777" i="33"/>
  <c r="I778" i="33"/>
  <c r="H511" i="33"/>
  <c r="I511" i="33" s="1"/>
  <c r="I512" i="33"/>
  <c r="H676" i="33"/>
  <c r="I676" i="33" s="1"/>
  <c r="I677" i="33"/>
  <c r="H47" i="33"/>
  <c r="G489" i="33"/>
  <c r="I490" i="33"/>
  <c r="I598" i="33"/>
  <c r="G430" i="33"/>
  <c r="I431" i="33"/>
  <c r="H232" i="33"/>
  <c r="I232" i="33" s="1"/>
  <c r="I233" i="33"/>
  <c r="H239" i="33"/>
  <c r="I240" i="33"/>
  <c r="H583" i="33"/>
  <c r="I584" i="33"/>
  <c r="H938" i="33"/>
  <c r="I938" i="33" s="1"/>
  <c r="I939" i="33"/>
  <c r="H308" i="33"/>
  <c r="I309" i="33"/>
  <c r="I671" i="33"/>
  <c r="H860" i="33"/>
  <c r="I861" i="33"/>
  <c r="G35" i="33"/>
  <c r="I36" i="33"/>
  <c r="H851" i="33"/>
  <c r="H227" i="33"/>
  <c r="I228" i="33"/>
  <c r="H345" i="33"/>
  <c r="I346" i="33"/>
  <c r="I908" i="33"/>
  <c r="I690" i="33"/>
  <c r="I691" i="33"/>
  <c r="H160" i="33"/>
  <c r="I161" i="33"/>
  <c r="H328" i="33"/>
  <c r="I329" i="33"/>
  <c r="H891" i="33"/>
  <c r="H802" i="33"/>
  <c r="I803" i="33"/>
  <c r="H874" i="33"/>
  <c r="H843" i="33"/>
  <c r="I844" i="33"/>
  <c r="H742" i="33"/>
  <c r="I743" i="33"/>
  <c r="I359" i="33"/>
  <c r="G355" i="33"/>
  <c r="I524" i="33"/>
  <c r="G223" i="33"/>
  <c r="I224" i="33"/>
  <c r="H720" i="33"/>
  <c r="G981" i="33"/>
  <c r="I982" i="33"/>
  <c r="H815" i="33"/>
  <c r="I815" i="33" s="1"/>
  <c r="I816" i="33"/>
  <c r="G715" i="33"/>
  <c r="I716" i="33"/>
  <c r="I661" i="33"/>
  <c r="H12" i="33"/>
  <c r="I13" i="33"/>
  <c r="H576" i="33"/>
  <c r="I576" i="33" s="1"/>
  <c r="I577" i="33"/>
  <c r="I699" i="33"/>
  <c r="G698" i="33"/>
  <c r="H80" i="33"/>
  <c r="H246" i="33"/>
  <c r="I247" i="33"/>
  <c r="H616" i="33"/>
  <c r="I617" i="33"/>
  <c r="H339" i="33"/>
  <c r="I339" i="33" s="1"/>
  <c r="I340" i="33"/>
  <c r="H201" i="33"/>
  <c r="H829" i="33"/>
  <c r="I830" i="33"/>
  <c r="H645" i="33"/>
  <c r="H570" i="33"/>
  <c r="I571" i="33"/>
  <c r="H314" i="33"/>
  <c r="I314" i="33" s="1"/>
  <c r="I315" i="33"/>
  <c r="H185" i="33"/>
  <c r="I186" i="33"/>
  <c r="H166" i="33"/>
  <c r="I167" i="33"/>
  <c r="H424" i="33"/>
  <c r="I425" i="33"/>
  <c r="I918" i="33"/>
  <c r="H917" i="33"/>
  <c r="I940" i="33"/>
  <c r="I706" i="33"/>
  <c r="H505" i="33"/>
  <c r="I506" i="33"/>
  <c r="H19" i="33"/>
  <c r="I20" i="33"/>
  <c r="H444" i="33"/>
  <c r="G551" i="33"/>
  <c r="I551" i="33" s="1"/>
  <c r="I552" i="33"/>
  <c r="G561" i="33"/>
  <c r="I562" i="33"/>
  <c r="H293" i="33"/>
  <c r="I294" i="33"/>
  <c r="G203" i="33"/>
  <c r="I207" i="33"/>
  <c r="I926" i="33"/>
  <c r="G917" i="33"/>
  <c r="G907" i="33" s="1"/>
  <c r="G906" i="33" s="1"/>
  <c r="H774" i="33"/>
  <c r="H760" i="33"/>
  <c r="I761" i="33"/>
  <c r="I902" i="33"/>
  <c r="H901" i="33"/>
  <c r="H322" i="33"/>
  <c r="I323" i="33"/>
  <c r="G631" i="33"/>
  <c r="I632" i="33"/>
  <c r="H300" i="33"/>
  <c r="I301" i="33"/>
  <c r="H39" i="33"/>
  <c r="I39" i="33" s="1"/>
  <c r="I40" i="33"/>
  <c r="G13" i="21"/>
  <c r="F782" i="21"/>
  <c r="F708" i="21"/>
  <c r="F642" i="21"/>
  <c r="F491" i="21"/>
  <c r="F232" i="21"/>
  <c r="F78" i="21"/>
  <c r="F49" i="21"/>
  <c r="G45" i="33" l="1"/>
  <c r="I80" i="33"/>
  <c r="I721" i="33"/>
  <c r="I255" i="33"/>
  <c r="I131" i="33"/>
  <c r="I647" i="33"/>
  <c r="I48" i="33"/>
  <c r="H907" i="33"/>
  <c r="H906" i="33" s="1"/>
  <c r="I906" i="33" s="1"/>
  <c r="I646" i="33"/>
  <c r="I885" i="33"/>
  <c r="G875" i="33"/>
  <c r="H665" i="33"/>
  <c r="I665" i="33" s="1"/>
  <c r="I444" i="33"/>
  <c r="H443" i="33"/>
  <c r="I145" i="33"/>
  <c r="H140" i="33"/>
  <c r="I140" i="33" s="1"/>
  <c r="I12" i="33"/>
  <c r="G714" i="33"/>
  <c r="I715" i="33"/>
  <c r="G980" i="33"/>
  <c r="I980" i="33" s="1"/>
  <c r="I981" i="33"/>
  <c r="G222" i="33"/>
  <c r="I223" i="33"/>
  <c r="H741" i="33"/>
  <c r="H159" i="33"/>
  <c r="I160" i="33"/>
  <c r="G34" i="33"/>
  <c r="I34" i="33" s="1"/>
  <c r="I35" i="33"/>
  <c r="H582" i="33"/>
  <c r="I583" i="33"/>
  <c r="H954" i="33"/>
  <c r="I954" i="33" s="1"/>
  <c r="I955" i="33"/>
  <c r="G630" i="33"/>
  <c r="I631" i="33"/>
  <c r="G202" i="33"/>
  <c r="I203" i="33"/>
  <c r="H504" i="33"/>
  <c r="I504" i="33" s="1"/>
  <c r="I505" i="33"/>
  <c r="H615" i="33"/>
  <c r="I616" i="33"/>
  <c r="I720" i="33"/>
  <c r="I659" i="33"/>
  <c r="I660" i="33"/>
  <c r="I860" i="33"/>
  <c r="G488" i="33"/>
  <c r="I489" i="33"/>
  <c r="G776" i="33"/>
  <c r="I777" i="33"/>
  <c r="H285" i="33"/>
  <c r="I285" i="33" s="1"/>
  <c r="I286" i="33"/>
  <c r="H373" i="33"/>
  <c r="I373" i="33" s="1"/>
  <c r="I374" i="33"/>
  <c r="G194" i="33"/>
  <c r="I195" i="33"/>
  <c r="G973" i="33"/>
  <c r="I974" i="33"/>
  <c r="I901" i="33"/>
  <c r="H900" i="33"/>
  <c r="I900" i="33" s="1"/>
  <c r="H644" i="33"/>
  <c r="I644" i="33" s="1"/>
  <c r="I645" i="33"/>
  <c r="G522" i="33"/>
  <c r="I523" i="33"/>
  <c r="H890" i="33"/>
  <c r="I890" i="33" s="1"/>
  <c r="I891" i="33"/>
  <c r="I907" i="33"/>
  <c r="I227" i="33"/>
  <c r="H221" i="33"/>
  <c r="H253" i="33"/>
  <c r="I254" i="33"/>
  <c r="H307" i="33"/>
  <c r="I308" i="33"/>
  <c r="H46" i="33"/>
  <c r="I47" i="33"/>
  <c r="H773" i="33"/>
  <c r="G560" i="33"/>
  <c r="I561" i="33"/>
  <c r="H423" i="33"/>
  <c r="I424" i="33"/>
  <c r="G354" i="33"/>
  <c r="I355" i="33"/>
  <c r="H238" i="33"/>
  <c r="I238" i="33" s="1"/>
  <c r="I239" i="33"/>
  <c r="G429" i="33"/>
  <c r="I430" i="33"/>
  <c r="G853" i="33"/>
  <c r="I854" i="33"/>
  <c r="H18" i="33"/>
  <c r="I18" i="33" s="1"/>
  <c r="I19" i="33"/>
  <c r="I917" i="33"/>
  <c r="H184" i="33"/>
  <c r="I185" i="33"/>
  <c r="H558" i="33"/>
  <c r="H521" i="33" s="1"/>
  <c r="I570" i="33"/>
  <c r="H828" i="33"/>
  <c r="I829" i="33"/>
  <c r="I130" i="33"/>
  <c r="H842" i="33"/>
  <c r="I842" i="33" s="1"/>
  <c r="I843" i="33"/>
  <c r="H801" i="33"/>
  <c r="I802" i="33"/>
  <c r="H327" i="33"/>
  <c r="I327" i="33" s="1"/>
  <c r="I328" i="33"/>
  <c r="I345" i="33"/>
  <c r="H299" i="33"/>
  <c r="I300" i="33"/>
  <c r="I322" i="33"/>
  <c r="H321" i="33"/>
  <c r="H759" i="33"/>
  <c r="I759" i="33" s="1"/>
  <c r="I760" i="33"/>
  <c r="H292" i="33"/>
  <c r="I293" i="33"/>
  <c r="H165" i="33"/>
  <c r="I165" i="33" s="1"/>
  <c r="I166" i="33"/>
  <c r="H245" i="33"/>
  <c r="I245" i="33" s="1"/>
  <c r="I246" i="33"/>
  <c r="G697" i="33"/>
  <c r="I698" i="33"/>
  <c r="I892" i="33"/>
  <c r="I750" i="33"/>
  <c r="G742" i="33"/>
  <c r="G741" i="33" s="1"/>
  <c r="G740" i="33" s="1"/>
  <c r="H998" i="33"/>
  <c r="I999" i="33"/>
  <c r="H712" i="33"/>
  <c r="F490" i="21"/>
  <c r="H491" i="21"/>
  <c r="F641" i="21"/>
  <c r="H642" i="21"/>
  <c r="F48" i="21"/>
  <c r="H49" i="21"/>
  <c r="F77" i="21"/>
  <c r="H77" i="21" s="1"/>
  <c r="H78" i="21"/>
  <c r="F707" i="21"/>
  <c r="H708" i="21"/>
  <c r="F231" i="21"/>
  <c r="H232" i="21"/>
  <c r="F781" i="21"/>
  <c r="H782" i="21"/>
  <c r="G12" i="21"/>
  <c r="F132" i="21"/>
  <c r="H132" i="21" s="1"/>
  <c r="F135" i="21"/>
  <c r="H135" i="21" s="1"/>
  <c r="H352" i="33" l="1"/>
  <c r="H344" i="33" s="1"/>
  <c r="G11" i="33"/>
  <c r="G874" i="33"/>
  <c r="I875" i="33"/>
  <c r="I742" i="33"/>
  <c r="I128" i="33"/>
  <c r="I129" i="33"/>
  <c r="G852" i="33"/>
  <c r="I853" i="33"/>
  <c r="H422" i="33"/>
  <c r="I423" i="33"/>
  <c r="H45" i="33"/>
  <c r="I46" i="33"/>
  <c r="I253" i="33"/>
  <c r="I194" i="33"/>
  <c r="G183" i="33"/>
  <c r="G487" i="33"/>
  <c r="I488" i="33"/>
  <c r="H291" i="33"/>
  <c r="I291" i="33" s="1"/>
  <c r="I292" i="33"/>
  <c r="I801" i="33"/>
  <c r="H800" i="33"/>
  <c r="I615" i="33"/>
  <c r="H597" i="33"/>
  <c r="G201" i="33"/>
  <c r="I202" i="33"/>
  <c r="H740" i="33"/>
  <c r="I741" i="33"/>
  <c r="H200" i="33"/>
  <c r="G696" i="33"/>
  <c r="I696" i="33" s="1"/>
  <c r="I697" i="33"/>
  <c r="G421" i="33"/>
  <c r="I429" i="33"/>
  <c r="G353" i="33"/>
  <c r="I354" i="33"/>
  <c r="G559" i="33"/>
  <c r="I560" i="33"/>
  <c r="H306" i="33"/>
  <c r="I307" i="33"/>
  <c r="G972" i="33"/>
  <c r="I973" i="33"/>
  <c r="G775" i="33"/>
  <c r="I776" i="33"/>
  <c r="H859" i="33"/>
  <c r="I443" i="33"/>
  <c r="H442" i="33"/>
  <c r="H997" i="33"/>
  <c r="I997" i="33" s="1"/>
  <c r="I998" i="33"/>
  <c r="H320" i="33"/>
  <c r="I320" i="33" s="1"/>
  <c r="I321" i="33"/>
  <c r="I522" i="33"/>
  <c r="H298" i="33"/>
  <c r="I298" i="33" s="1"/>
  <c r="I299" i="33"/>
  <c r="H827" i="33"/>
  <c r="I828" i="33"/>
  <c r="H183" i="33"/>
  <c r="I184" i="33"/>
  <c r="I630" i="33"/>
  <c r="G597" i="33"/>
  <c r="I582" i="33"/>
  <c r="H158" i="33"/>
  <c r="I158" i="33" s="1"/>
  <c r="I159" i="33"/>
  <c r="G221" i="33"/>
  <c r="I221" i="33" s="1"/>
  <c r="I222" i="33"/>
  <c r="G713" i="33"/>
  <c r="I714" i="33"/>
  <c r="G11" i="21"/>
  <c r="F230" i="21"/>
  <c r="H231" i="21"/>
  <c r="F640" i="21"/>
  <c r="H641" i="21"/>
  <c r="F780" i="21"/>
  <c r="H781" i="21"/>
  <c r="F706" i="21"/>
  <c r="H707" i="21"/>
  <c r="F47" i="21"/>
  <c r="H47" i="21" s="1"/>
  <c r="H48" i="21"/>
  <c r="F489" i="21"/>
  <c r="H489" i="21" s="1"/>
  <c r="H490" i="21"/>
  <c r="F539" i="21"/>
  <c r="H539" i="21" s="1"/>
  <c r="F538" i="21"/>
  <c r="H538" i="21" s="1"/>
  <c r="F527" i="21"/>
  <c r="H527" i="21" s="1"/>
  <c r="F526" i="21"/>
  <c r="H526" i="21" s="1"/>
  <c r="F523" i="21"/>
  <c r="H523" i="21" s="1"/>
  <c r="F522" i="21"/>
  <c r="H522" i="21" s="1"/>
  <c r="F509" i="21"/>
  <c r="H509" i="21" s="1"/>
  <c r="F508" i="21"/>
  <c r="H508" i="21" s="1"/>
  <c r="G463" i="33" l="1"/>
  <c r="G462" i="33" s="1"/>
  <c r="G10" i="33"/>
  <c r="I183" i="33"/>
  <c r="G859" i="33"/>
  <c r="G858" i="33" s="1"/>
  <c r="I874" i="33"/>
  <c r="G352" i="33"/>
  <c r="I353" i="33"/>
  <c r="I487" i="33"/>
  <c r="H252" i="33"/>
  <c r="I252" i="33" s="1"/>
  <c r="G575" i="33"/>
  <c r="H858" i="33"/>
  <c r="G971" i="33"/>
  <c r="I971" i="33" s="1"/>
  <c r="I972" i="33"/>
  <c r="H199" i="33"/>
  <c r="G200" i="33"/>
  <c r="G199" i="33" s="1"/>
  <c r="I201" i="33"/>
  <c r="H503" i="33"/>
  <c r="H421" i="33"/>
  <c r="I422" i="33"/>
  <c r="G712" i="33"/>
  <c r="I713" i="33"/>
  <c r="H826" i="33"/>
  <c r="I827" i="33"/>
  <c r="G558" i="33"/>
  <c r="I559" i="33"/>
  <c r="I597" i="33"/>
  <c r="I45" i="33"/>
  <c r="H11" i="33"/>
  <c r="H575" i="33"/>
  <c r="H441" i="33"/>
  <c r="I442" i="33"/>
  <c r="G774" i="33"/>
  <c r="I775" i="33"/>
  <c r="H305" i="33"/>
  <c r="I305" i="33" s="1"/>
  <c r="I306" i="33"/>
  <c r="I740" i="33"/>
  <c r="H719" i="33"/>
  <c r="H799" i="33"/>
  <c r="I799" i="33" s="1"/>
  <c r="I800" i="33"/>
  <c r="G851" i="33"/>
  <c r="I852" i="33"/>
  <c r="F779" i="21"/>
  <c r="H779" i="21" s="1"/>
  <c r="H780" i="21"/>
  <c r="F229" i="21"/>
  <c r="H229" i="21" s="1"/>
  <c r="H230" i="21"/>
  <c r="F705" i="21"/>
  <c r="H705" i="21" s="1"/>
  <c r="H706" i="21"/>
  <c r="F639" i="21"/>
  <c r="H639" i="21" s="1"/>
  <c r="H640" i="21"/>
  <c r="G10" i="21"/>
  <c r="F735" i="21"/>
  <c r="H735" i="21" s="1"/>
  <c r="I858" i="33" l="1"/>
  <c r="I575" i="33"/>
  <c r="I859" i="33"/>
  <c r="I199" i="33"/>
  <c r="I558" i="33"/>
  <c r="G521" i="33"/>
  <c r="I712" i="33"/>
  <c r="I463" i="33"/>
  <c r="H705" i="33"/>
  <c r="H420" i="33"/>
  <c r="I421" i="33"/>
  <c r="G344" i="33"/>
  <c r="I344" i="33" s="1"/>
  <c r="I352" i="33"/>
  <c r="G826" i="33"/>
  <c r="I826" i="33" s="1"/>
  <c r="I851" i="33"/>
  <c r="G773" i="33"/>
  <c r="I774" i="33"/>
  <c r="H10" i="33"/>
  <c r="I11" i="33"/>
  <c r="I200" i="33"/>
  <c r="G9" i="21"/>
  <c r="F22" i="21"/>
  <c r="H22" i="21" s="1"/>
  <c r="F16" i="21"/>
  <c r="H16" i="21" s="1"/>
  <c r="G503" i="33" l="1"/>
  <c r="I503" i="33" s="1"/>
  <c r="I521" i="33"/>
  <c r="I773" i="33"/>
  <c r="G719" i="33"/>
  <c r="G441" i="33"/>
  <c r="I462" i="33"/>
  <c r="H9" i="33"/>
  <c r="I10" i="33"/>
  <c r="G8" i="21"/>
  <c r="G420" i="33" l="1"/>
  <c r="I441" i="33"/>
  <c r="I719" i="33"/>
  <c r="G705" i="33"/>
  <c r="I705" i="33" s="1"/>
  <c r="F422" i="21"/>
  <c r="H422" i="21" s="1"/>
  <c r="F751" i="21"/>
  <c r="H751" i="21" s="1"/>
  <c r="F64" i="21"/>
  <c r="H64" i="21" s="1"/>
  <c r="F61" i="21"/>
  <c r="H61" i="21" s="1"/>
  <c r="F314" i="21"/>
  <c r="H314" i="21" s="1"/>
  <c r="F181" i="21"/>
  <c r="H181" i="21" s="1"/>
  <c r="F805" i="21"/>
  <c r="H805" i="21" s="1"/>
  <c r="F74" i="21"/>
  <c r="H74" i="21" s="1"/>
  <c r="F178" i="21"/>
  <c r="H178" i="21" s="1"/>
  <c r="F475" i="21"/>
  <c r="H475" i="21" s="1"/>
  <c r="F477" i="21"/>
  <c r="H477" i="21" s="1"/>
  <c r="F412" i="21"/>
  <c r="H412" i="21" s="1"/>
  <c r="F273" i="21"/>
  <c r="H273" i="21" s="1"/>
  <c r="F224" i="21"/>
  <c r="H224" i="21" s="1"/>
  <c r="F222" i="21"/>
  <c r="H222" i="21" s="1"/>
  <c r="F219" i="21"/>
  <c r="H219" i="21" s="1"/>
  <c r="F792" i="21"/>
  <c r="H792" i="21" s="1"/>
  <c r="F794" i="21"/>
  <c r="H794" i="21" s="1"/>
  <c r="I420" i="33" l="1"/>
  <c r="G9" i="33"/>
  <c r="I9" i="33" s="1"/>
  <c r="F228" i="21" l="1"/>
  <c r="H228" i="21" s="1"/>
  <c r="F383" i="21" l="1"/>
  <c r="H383" i="21" s="1"/>
  <c r="F348" i="21"/>
  <c r="H348" i="21" s="1"/>
  <c r="F253" i="21" l="1"/>
  <c r="F252" i="21" l="1"/>
  <c r="H252" i="21" s="1"/>
  <c r="H253" i="21"/>
  <c r="F351" i="21"/>
  <c r="H351" i="21" s="1"/>
  <c r="F704" i="21" l="1"/>
  <c r="H704" i="21" s="1"/>
  <c r="F632" i="21"/>
  <c r="H632" i="21" s="1"/>
  <c r="F483" i="21"/>
  <c r="H483" i="21" s="1"/>
  <c r="F297" i="21"/>
  <c r="H297" i="21" s="1"/>
  <c r="F698" i="21" l="1"/>
  <c r="H698" i="21" s="1"/>
  <c r="F695" i="21"/>
  <c r="H695" i="21" s="1"/>
  <c r="F679" i="21"/>
  <c r="H679" i="21" s="1"/>
  <c r="F673" i="21"/>
  <c r="H673" i="21" s="1"/>
  <c r="F670" i="21"/>
  <c r="H670" i="21" s="1"/>
  <c r="F567" i="21"/>
  <c r="H567" i="21" s="1"/>
  <c r="F564" i="21"/>
  <c r="H564" i="21" s="1"/>
  <c r="F658" i="21"/>
  <c r="H658" i="21" s="1"/>
  <c r="F548" i="21"/>
  <c r="H548" i="21" s="1"/>
  <c r="F651" i="21"/>
  <c r="H651" i="21" s="1"/>
  <c r="F435" i="21" l="1"/>
  <c r="H435" i="21" s="1"/>
  <c r="F429" i="21"/>
  <c r="H429" i="21" s="1"/>
  <c r="F455" i="21"/>
  <c r="H455" i="21" s="1"/>
  <c r="F388" i="21"/>
  <c r="H388" i="21" s="1"/>
  <c r="F209" i="21"/>
  <c r="H209" i="21" s="1"/>
  <c r="F211" i="21"/>
  <c r="H211" i="21" s="1"/>
  <c r="F39" i="21"/>
  <c r="H39" i="21" s="1"/>
  <c r="F34" i="21"/>
  <c r="H34" i="21" s="1"/>
  <c r="F144" i="21"/>
  <c r="H144" i="21" s="1"/>
  <c r="H44" i="21"/>
  <c r="F285" i="21" l="1"/>
  <c r="H285" i="21" s="1"/>
  <c r="F799" i="21"/>
  <c r="H799" i="21" s="1"/>
  <c r="F150" i="21"/>
  <c r="H150" i="21" s="1"/>
  <c r="F152" i="21"/>
  <c r="H152" i="21" s="1"/>
  <c r="F154" i="21"/>
  <c r="H154" i="21" s="1"/>
  <c r="F738" i="21"/>
  <c r="H738" i="21" s="1"/>
  <c r="F139" i="21"/>
  <c r="H139" i="21" s="1"/>
  <c r="F159" i="21"/>
  <c r="H159" i="21" s="1"/>
  <c r="F160" i="21"/>
  <c r="H160" i="21" s="1"/>
  <c r="F625" i="21" l="1"/>
  <c r="H625" i="21" s="1"/>
  <c r="F620" i="21"/>
  <c r="H620" i="21" s="1"/>
  <c r="F593" i="21"/>
  <c r="H593" i="21" s="1"/>
  <c r="F592" i="21"/>
  <c r="H592" i="21" s="1"/>
  <c r="F605" i="21" l="1"/>
  <c r="H605" i="21" s="1"/>
  <c r="F607" i="21"/>
  <c r="H607" i="21" s="1"/>
  <c r="F128" i="21" l="1"/>
  <c r="H128" i="21" s="1"/>
  <c r="F118" i="21"/>
  <c r="H118" i="21" s="1"/>
  <c r="F115" i="21"/>
  <c r="H115" i="21" s="1"/>
  <c r="F112" i="21"/>
  <c r="H112" i="21" s="1"/>
  <c r="F109" i="21"/>
  <c r="H109" i="21" s="1"/>
  <c r="F106" i="21"/>
  <c r="H106" i="21" s="1"/>
  <c r="F103" i="21"/>
  <c r="H103" i="21" s="1"/>
  <c r="F71" i="21" l="1"/>
  <c r="H71" i="21" s="1"/>
  <c r="F629" i="21"/>
  <c r="H629" i="21" s="1"/>
  <c r="F763" i="21"/>
  <c r="H763" i="21" s="1"/>
  <c r="F380" i="21"/>
  <c r="H380" i="21" s="1"/>
  <c r="F374" i="21"/>
  <c r="H374" i="21" s="1"/>
  <c r="F473" i="21"/>
  <c r="H473" i="21" s="1"/>
  <c r="F464" i="21"/>
  <c r="H464" i="21" s="1"/>
  <c r="F328" i="21"/>
  <c r="H328" i="21" s="1"/>
  <c r="F486" i="21" l="1"/>
  <c r="H486" i="21" s="1"/>
  <c r="F488" i="21"/>
  <c r="H488" i="21" s="1"/>
  <c r="F437" i="21" l="1"/>
  <c r="F25" i="21"/>
  <c r="H25" i="21" s="1"/>
  <c r="F419" i="21"/>
  <c r="H419" i="21" s="1"/>
  <c r="F325" i="21"/>
  <c r="H325" i="21" s="1"/>
  <c r="F409" i="21"/>
  <c r="H409" i="21" s="1"/>
  <c r="F663" i="21"/>
  <c r="F311" i="21"/>
  <c r="H311" i="21" s="1"/>
  <c r="F308" i="21"/>
  <c r="H308" i="21" s="1"/>
  <c r="F662" i="21" l="1"/>
  <c r="H662" i="21" s="1"/>
  <c r="H663" i="21"/>
  <c r="F436" i="21"/>
  <c r="H436" i="21" s="1"/>
  <c r="H437" i="21"/>
  <c r="F251" i="21"/>
  <c r="H251" i="21" s="1"/>
  <c r="F248" i="21"/>
  <c r="H248" i="21" s="1"/>
  <c r="F246" i="21"/>
  <c r="H246" i="21" s="1"/>
  <c r="F46" i="21"/>
  <c r="H46" i="21" s="1"/>
  <c r="F741" i="21"/>
  <c r="H741" i="21" s="1"/>
  <c r="F90" i="21"/>
  <c r="H90" i="21" s="1"/>
  <c r="F598" i="21"/>
  <c r="H598" i="21" s="1"/>
  <c r="F600" i="21"/>
  <c r="H600" i="21" s="1"/>
  <c r="F41" i="21" l="1"/>
  <c r="H41" i="21" s="1"/>
  <c r="F243" i="21" l="1"/>
  <c r="H243" i="21" s="1"/>
  <c r="F497" i="21" l="1"/>
  <c r="H497" i="21" s="1"/>
  <c r="F345" i="21"/>
  <c r="H345" i="21" s="1"/>
  <c r="F654" i="21" l="1"/>
  <c r="H654" i="21" s="1"/>
  <c r="F421" i="21"/>
  <c r="F365" i="21"/>
  <c r="F357" i="21"/>
  <c r="F335" i="21"/>
  <c r="H335" i="21" s="1"/>
  <c r="F332" i="21"/>
  <c r="F327" i="21"/>
  <c r="F174" i="21"/>
  <c r="F445" i="21"/>
  <c r="F204" i="21"/>
  <c r="F442" i="21"/>
  <c r="F164" i="21"/>
  <c r="F635" i="21"/>
  <c r="F213" i="21"/>
  <c r="F277" i="21"/>
  <c r="F275" i="21"/>
  <c r="F256" i="21"/>
  <c r="F650" i="21"/>
  <c r="F653" i="21"/>
  <c r="F657" i="21"/>
  <c r="F660" i="21"/>
  <c r="F342" i="21"/>
  <c r="F339" i="21"/>
  <c r="F804" i="21"/>
  <c r="F790" i="21"/>
  <c r="F791" i="21"/>
  <c r="H791" i="21" s="1"/>
  <c r="F793" i="21"/>
  <c r="H793" i="21" s="1"/>
  <c r="F798" i="21"/>
  <c r="F757" i="21"/>
  <c r="F762" i="21"/>
  <c r="F765" i="21"/>
  <c r="F773" i="21"/>
  <c r="F775" i="21"/>
  <c r="H775" i="21" s="1"/>
  <c r="F777" i="21"/>
  <c r="H777" i="21" s="1"/>
  <c r="F579" i="21"/>
  <c r="H579" i="21" s="1"/>
  <c r="F581" i="21"/>
  <c r="H581" i="21" s="1"/>
  <c r="F397" i="21"/>
  <c r="F387" i="21"/>
  <c r="F390" i="21"/>
  <c r="F393" i="21"/>
  <c r="F399" i="21"/>
  <c r="F402" i="21"/>
  <c r="F406" i="21"/>
  <c r="F408" i="21"/>
  <c r="F411" i="21"/>
  <c r="F416" i="21"/>
  <c r="H416" i="21" s="1"/>
  <c r="F418" i="21"/>
  <c r="H418" i="21" s="1"/>
  <c r="F424" i="21"/>
  <c r="F428" i="21"/>
  <c r="F432" i="21"/>
  <c r="F434" i="21"/>
  <c r="F320" i="21"/>
  <c r="F324" i="21"/>
  <c r="F334" i="21"/>
  <c r="F347" i="21"/>
  <c r="F350" i="21"/>
  <c r="F344" i="21"/>
  <c r="F361" i="21"/>
  <c r="F367" i="21"/>
  <c r="F370" i="21"/>
  <c r="F373" i="21"/>
  <c r="F377" i="21"/>
  <c r="F379" i="21"/>
  <c r="F382" i="21"/>
  <c r="F452" i="21"/>
  <c r="F454" i="21"/>
  <c r="H454" i="21" s="1"/>
  <c r="F457" i="21"/>
  <c r="F463" i="21"/>
  <c r="F466" i="21"/>
  <c r="H466" i="21" s="1"/>
  <c r="F469" i="21"/>
  <c r="F472" i="21"/>
  <c r="H472" i="21" s="1"/>
  <c r="F474" i="21"/>
  <c r="H474" i="21" s="1"/>
  <c r="F476" i="21"/>
  <c r="H476" i="21" s="1"/>
  <c r="F482" i="21"/>
  <c r="F485" i="21"/>
  <c r="H485" i="21" s="1"/>
  <c r="F487" i="21"/>
  <c r="H487" i="21" s="1"/>
  <c r="F507" i="21"/>
  <c r="F511" i="21"/>
  <c r="F515" i="21"/>
  <c r="F525" i="21"/>
  <c r="F521" i="21"/>
  <c r="F530" i="21"/>
  <c r="F537" i="21"/>
  <c r="F541" i="21"/>
  <c r="F547" i="21"/>
  <c r="F557" i="21"/>
  <c r="F551" i="21"/>
  <c r="F563" i="21"/>
  <c r="F566" i="21"/>
  <c r="F569" i="21"/>
  <c r="F574" i="21"/>
  <c r="F587" i="21"/>
  <c r="F597" i="21"/>
  <c r="H597" i="21" s="1"/>
  <c r="F599" i="21"/>
  <c r="H599" i="21" s="1"/>
  <c r="F601" i="21"/>
  <c r="H601" i="21" s="1"/>
  <c r="F604" i="21"/>
  <c r="H604" i="21" s="1"/>
  <c r="F606" i="21"/>
  <c r="H606" i="21" s="1"/>
  <c r="F610" i="21"/>
  <c r="F612" i="21"/>
  <c r="F614" i="21"/>
  <c r="F619" i="21"/>
  <c r="F622" i="21"/>
  <c r="H622" i="21" s="1"/>
  <c r="F624" i="21"/>
  <c r="H624" i="21" s="1"/>
  <c r="F628" i="21"/>
  <c r="F631" i="21"/>
  <c r="F637" i="21"/>
  <c r="F669" i="21"/>
  <c r="F672" i="21"/>
  <c r="F675" i="21"/>
  <c r="F678" i="21"/>
  <c r="F681" i="21"/>
  <c r="F684" i="21"/>
  <c r="F694" i="21"/>
  <c r="F697" i="21"/>
  <c r="H697" i="21" s="1"/>
  <c r="F700" i="21"/>
  <c r="F703" i="21"/>
  <c r="F715" i="21"/>
  <c r="F720" i="21"/>
  <c r="F726" i="21"/>
  <c r="H726" i="21" s="1"/>
  <c r="F727" i="21"/>
  <c r="H727" i="21" s="1"/>
  <c r="F729" i="21"/>
  <c r="F737" i="21"/>
  <c r="F740" i="21"/>
  <c r="H740" i="21" s="1"/>
  <c r="F743" i="21"/>
  <c r="F744" i="21"/>
  <c r="H744" i="21" s="1"/>
  <c r="F734" i="21"/>
  <c r="F750" i="21"/>
  <c r="F242" i="21"/>
  <c r="F245" i="21"/>
  <c r="H245" i="21" s="1"/>
  <c r="F247" i="21"/>
  <c r="H247" i="21" s="1"/>
  <c r="F250" i="21"/>
  <c r="H250" i="21" s="1"/>
  <c r="F258" i="21"/>
  <c r="F262" i="21"/>
  <c r="F264" i="21"/>
  <c r="F268" i="21"/>
  <c r="F272" i="21"/>
  <c r="H272" i="21" s="1"/>
  <c r="F280" i="21"/>
  <c r="F284" i="21"/>
  <c r="F290" i="21"/>
  <c r="F294" i="21"/>
  <c r="F296" i="21"/>
  <c r="F299" i="21"/>
  <c r="F302" i="21"/>
  <c r="F307" i="21"/>
  <c r="F310" i="21"/>
  <c r="F313" i="21"/>
  <c r="F496" i="21"/>
  <c r="F503" i="21"/>
  <c r="F208" i="21"/>
  <c r="H208" i="21" s="1"/>
  <c r="F210" i="21"/>
  <c r="H210" i="21" s="1"/>
  <c r="F218" i="21"/>
  <c r="F221" i="21"/>
  <c r="H221" i="21" s="1"/>
  <c r="F223" i="21"/>
  <c r="H223" i="21" s="1"/>
  <c r="F227" i="21"/>
  <c r="F238" i="21"/>
  <c r="F186" i="21"/>
  <c r="F180" i="21"/>
  <c r="F125" i="21"/>
  <c r="F127" i="21"/>
  <c r="F131" i="21"/>
  <c r="F134" i="21"/>
  <c r="F138" i="21"/>
  <c r="F143" i="21"/>
  <c r="F149" i="21"/>
  <c r="H149" i="21" s="1"/>
  <c r="F151" i="21"/>
  <c r="H151" i="21" s="1"/>
  <c r="F153" i="21"/>
  <c r="H153" i="21" s="1"/>
  <c r="F157" i="21"/>
  <c r="F158" i="21"/>
  <c r="H158" i="21" s="1"/>
  <c r="F171" i="21"/>
  <c r="F166" i="21"/>
  <c r="F167" i="21"/>
  <c r="H167" i="21" s="1"/>
  <c r="F176" i="21"/>
  <c r="F195" i="21"/>
  <c r="F197" i="21"/>
  <c r="F199" i="21"/>
  <c r="F117" i="21"/>
  <c r="F120" i="21"/>
  <c r="F105" i="21"/>
  <c r="F108" i="21"/>
  <c r="F111" i="21"/>
  <c r="F114" i="21"/>
  <c r="F89" i="21"/>
  <c r="F70" i="21"/>
  <c r="F73" i="21"/>
  <c r="H73" i="21" s="1"/>
  <c r="F75" i="21"/>
  <c r="H75" i="21" s="1"/>
  <c r="F84" i="21"/>
  <c r="F96" i="21"/>
  <c r="F100" i="21"/>
  <c r="F102" i="21"/>
  <c r="F38" i="21"/>
  <c r="H38" i="21" s="1"/>
  <c r="F40" i="21"/>
  <c r="H40" i="21" s="1"/>
  <c r="F43" i="21"/>
  <c r="H43" i="21" s="1"/>
  <c r="F45" i="21"/>
  <c r="H45" i="21" s="1"/>
  <c r="F54" i="21"/>
  <c r="F60" i="21"/>
  <c r="F63" i="21"/>
  <c r="H63" i="21" s="1"/>
  <c r="F65" i="21"/>
  <c r="H65" i="21" s="1"/>
  <c r="F24" i="21"/>
  <c r="H24" i="21" s="1"/>
  <c r="F26" i="21"/>
  <c r="H26" i="21" s="1"/>
  <c r="F33" i="21"/>
  <c r="F15" i="21"/>
  <c r="F21" i="21"/>
  <c r="F142" i="21" l="1"/>
  <c r="H143" i="21"/>
  <c r="F163" i="21"/>
  <c r="H163" i="21" s="1"/>
  <c r="H164" i="21"/>
  <c r="F326" i="21"/>
  <c r="H326" i="21" s="1"/>
  <c r="H327" i="21"/>
  <c r="F124" i="21"/>
  <c r="H125" i="21"/>
  <c r="F237" i="21"/>
  <c r="H238" i="21"/>
  <c r="F295" i="21"/>
  <c r="H295" i="21" s="1"/>
  <c r="H296" i="21"/>
  <c r="F728" i="21"/>
  <c r="H728" i="21" s="1"/>
  <c r="H729" i="21"/>
  <c r="F568" i="21"/>
  <c r="H568" i="21" s="1"/>
  <c r="H569" i="21"/>
  <c r="F510" i="21"/>
  <c r="H510" i="21" s="1"/>
  <c r="H511" i="21"/>
  <c r="F468" i="21"/>
  <c r="H468" i="21" s="1"/>
  <c r="H469" i="21"/>
  <c r="F376" i="21"/>
  <c r="H377" i="21"/>
  <c r="F431" i="21"/>
  <c r="H432" i="21"/>
  <c r="F764" i="21"/>
  <c r="H764" i="21" s="1"/>
  <c r="H765" i="21"/>
  <c r="F652" i="21"/>
  <c r="H652" i="21" s="1"/>
  <c r="H653" i="21"/>
  <c r="F255" i="21"/>
  <c r="H256" i="21"/>
  <c r="F274" i="21"/>
  <c r="H274" i="21" s="1"/>
  <c r="H275" i="21"/>
  <c r="F634" i="21"/>
  <c r="H635" i="21"/>
  <c r="F441" i="21"/>
  <c r="H442" i="21"/>
  <c r="F444" i="21"/>
  <c r="H445" i="21"/>
  <c r="F331" i="21"/>
  <c r="H332" i="21"/>
  <c r="F420" i="21"/>
  <c r="H420" i="21" s="1"/>
  <c r="H421" i="21"/>
  <c r="F59" i="21"/>
  <c r="H59" i="21" s="1"/>
  <c r="H60" i="21"/>
  <c r="F95" i="21"/>
  <c r="H96" i="21"/>
  <c r="F69" i="21"/>
  <c r="H69" i="21" s="1"/>
  <c r="H70" i="21"/>
  <c r="F107" i="21"/>
  <c r="H107" i="21" s="1"/>
  <c r="H108" i="21"/>
  <c r="F175" i="21"/>
  <c r="H175" i="21" s="1"/>
  <c r="H176" i="21"/>
  <c r="F130" i="21"/>
  <c r="H130" i="21" s="1"/>
  <c r="H131" i="21"/>
  <c r="F226" i="21"/>
  <c r="H227" i="21"/>
  <c r="F301" i="21"/>
  <c r="H301" i="21" s="1"/>
  <c r="H302" i="21"/>
  <c r="F289" i="21"/>
  <c r="H290" i="21"/>
  <c r="F283" i="21"/>
  <c r="H284" i="21"/>
  <c r="F267" i="21"/>
  <c r="H268" i="21"/>
  <c r="F749" i="21"/>
  <c r="H750" i="21"/>
  <c r="F699" i="21"/>
  <c r="H699" i="21" s="1"/>
  <c r="H700" i="21"/>
  <c r="F680" i="21"/>
  <c r="H680" i="21" s="1"/>
  <c r="H681" i="21"/>
  <c r="F20" i="21"/>
  <c r="H21" i="21"/>
  <c r="F53" i="21"/>
  <c r="H54" i="21"/>
  <c r="F83" i="21"/>
  <c r="H84" i="21"/>
  <c r="F88" i="21"/>
  <c r="H89" i="21"/>
  <c r="F104" i="21"/>
  <c r="H104" i="21" s="1"/>
  <c r="H105" i="21"/>
  <c r="F198" i="21"/>
  <c r="H198" i="21" s="1"/>
  <c r="H199" i="21"/>
  <c r="F156" i="21"/>
  <c r="H156" i="21" s="1"/>
  <c r="H157" i="21"/>
  <c r="F126" i="21"/>
  <c r="H126" i="21" s="1"/>
  <c r="H127" i="21"/>
  <c r="F185" i="21"/>
  <c r="H186" i="21"/>
  <c r="F312" i="21"/>
  <c r="H312" i="21" s="1"/>
  <c r="H313" i="21"/>
  <c r="F298" i="21"/>
  <c r="H298" i="21" s="1"/>
  <c r="H299" i="21"/>
  <c r="F263" i="21"/>
  <c r="H263" i="21" s="1"/>
  <c r="H264" i="21"/>
  <c r="F733" i="21"/>
  <c r="H733" i="21" s="1"/>
  <c r="H734" i="21"/>
  <c r="F736" i="21"/>
  <c r="H736" i="21" s="1"/>
  <c r="H737" i="21"/>
  <c r="F719" i="21"/>
  <c r="H720" i="21"/>
  <c r="F677" i="21"/>
  <c r="H677" i="21" s="1"/>
  <c r="H678" i="21"/>
  <c r="F668" i="21"/>
  <c r="H669" i="21"/>
  <c r="F611" i="21"/>
  <c r="H611" i="21" s="1"/>
  <c r="H612" i="21"/>
  <c r="F573" i="21"/>
  <c r="H574" i="21"/>
  <c r="F550" i="21"/>
  <c r="H551" i="21"/>
  <c r="F536" i="21"/>
  <c r="H536" i="21" s="1"/>
  <c r="H537" i="21"/>
  <c r="F514" i="21"/>
  <c r="H515" i="21"/>
  <c r="F456" i="21"/>
  <c r="H456" i="21" s="1"/>
  <c r="H457" i="21"/>
  <c r="F378" i="21"/>
  <c r="H378" i="21" s="1"/>
  <c r="H379" i="21"/>
  <c r="F366" i="21"/>
  <c r="H366" i="21" s="1"/>
  <c r="H367" i="21"/>
  <c r="F346" i="21"/>
  <c r="H346" i="21" s="1"/>
  <c r="H347" i="21"/>
  <c r="F433" i="21"/>
  <c r="H433" i="21" s="1"/>
  <c r="H434" i="21"/>
  <c r="F392" i="21"/>
  <c r="H392" i="21" s="1"/>
  <c r="H393" i="21"/>
  <c r="F772" i="21"/>
  <c r="H773" i="21"/>
  <c r="F797" i="21"/>
  <c r="H798" i="21"/>
  <c r="F803" i="21"/>
  <c r="F802" i="21" s="1"/>
  <c r="H804" i="21"/>
  <c r="F341" i="21"/>
  <c r="H342" i="21"/>
  <c r="F656" i="21"/>
  <c r="H657" i="21"/>
  <c r="F364" i="21"/>
  <c r="H364" i="21" s="1"/>
  <c r="H365" i="21"/>
  <c r="F14" i="21"/>
  <c r="H15" i="21"/>
  <c r="F101" i="21"/>
  <c r="H101" i="21" s="1"/>
  <c r="H102" i="21"/>
  <c r="F113" i="21"/>
  <c r="H113" i="21" s="1"/>
  <c r="H114" i="21"/>
  <c r="F119" i="21"/>
  <c r="H119" i="21" s="1"/>
  <c r="H120" i="21"/>
  <c r="F196" i="21"/>
  <c r="H196" i="21" s="1"/>
  <c r="H197" i="21"/>
  <c r="F165" i="21"/>
  <c r="H165" i="21" s="1"/>
  <c r="H166" i="21"/>
  <c r="F137" i="21"/>
  <c r="H138" i="21"/>
  <c r="F502" i="21"/>
  <c r="H502" i="21" s="1"/>
  <c r="H503" i="21"/>
  <c r="F309" i="21"/>
  <c r="H309" i="21" s="1"/>
  <c r="H310" i="21"/>
  <c r="F279" i="21"/>
  <c r="H280" i="21"/>
  <c r="F261" i="21"/>
  <c r="H262" i="21"/>
  <c r="F714" i="21"/>
  <c r="H715" i="21"/>
  <c r="F693" i="21"/>
  <c r="H693" i="21" s="1"/>
  <c r="H694" i="21"/>
  <c r="F636" i="21"/>
  <c r="H636" i="21" s="1"/>
  <c r="H637" i="21"/>
  <c r="F609" i="21"/>
  <c r="H609" i="21" s="1"/>
  <c r="H610" i="21"/>
  <c r="F556" i="21"/>
  <c r="H557" i="21"/>
  <c r="F529" i="21"/>
  <c r="H530" i="21"/>
  <c r="F481" i="21"/>
  <c r="H481" i="21" s="1"/>
  <c r="H482" i="21"/>
  <c r="F360" i="21"/>
  <c r="H361" i="21"/>
  <c r="F333" i="21"/>
  <c r="H333" i="21" s="1"/>
  <c r="H334" i="21"/>
  <c r="F405" i="21"/>
  <c r="H406" i="21"/>
  <c r="F389" i="21"/>
  <c r="H389" i="21" s="1"/>
  <c r="H390" i="21"/>
  <c r="F32" i="21"/>
  <c r="H33" i="21"/>
  <c r="F99" i="21"/>
  <c r="H100" i="21"/>
  <c r="F110" i="21"/>
  <c r="H110" i="21" s="1"/>
  <c r="H111" i="21"/>
  <c r="F116" i="21"/>
  <c r="H116" i="21" s="1"/>
  <c r="H117" i="21"/>
  <c r="F194" i="21"/>
  <c r="H194" i="21" s="1"/>
  <c r="H195" i="21"/>
  <c r="F170" i="21"/>
  <c r="H171" i="21"/>
  <c r="F133" i="21"/>
  <c r="H133" i="21" s="1"/>
  <c r="H134" i="21"/>
  <c r="F179" i="21"/>
  <c r="H179" i="21" s="1"/>
  <c r="H180" i="21"/>
  <c r="F217" i="21"/>
  <c r="H217" i="21" s="1"/>
  <c r="H218" i="21"/>
  <c r="F495" i="21"/>
  <c r="H496" i="21"/>
  <c r="F306" i="21"/>
  <c r="H306" i="21" s="1"/>
  <c r="H307" i="21"/>
  <c r="F293" i="21"/>
  <c r="H294" i="21"/>
  <c r="F257" i="21"/>
  <c r="H257" i="21" s="1"/>
  <c r="H258" i="21"/>
  <c r="F241" i="21"/>
  <c r="H241" i="21" s="1"/>
  <c r="H242" i="21"/>
  <c r="F742" i="21"/>
  <c r="H742" i="21" s="1"/>
  <c r="H743" i="21"/>
  <c r="F702" i="21"/>
  <c r="H703" i="21"/>
  <c r="F683" i="21"/>
  <c r="H683" i="21" s="1"/>
  <c r="H684" i="21"/>
  <c r="F674" i="21"/>
  <c r="H674" i="21" s="1"/>
  <c r="H675" i="21"/>
  <c r="F630" i="21"/>
  <c r="H630" i="21" s="1"/>
  <c r="H631" i="21"/>
  <c r="F618" i="21"/>
  <c r="H618" i="21" s="1"/>
  <c r="H619" i="21"/>
  <c r="F565" i="21"/>
  <c r="H565" i="21" s="1"/>
  <c r="H566" i="21"/>
  <c r="F546" i="21"/>
  <c r="H547" i="21"/>
  <c r="F520" i="21"/>
  <c r="H520" i="21" s="1"/>
  <c r="H521" i="21"/>
  <c r="F506" i="21"/>
  <c r="H506" i="21" s="1"/>
  <c r="H507" i="21"/>
  <c r="F451" i="21"/>
  <c r="H452" i="21"/>
  <c r="F372" i="21"/>
  <c r="H372" i="21" s="1"/>
  <c r="H373" i="21"/>
  <c r="F343" i="21"/>
  <c r="H343" i="21" s="1"/>
  <c r="H344" i="21"/>
  <c r="F323" i="21"/>
  <c r="H323" i="21" s="1"/>
  <c r="H324" i="21"/>
  <c r="F427" i="21"/>
  <c r="H427" i="21" s="1"/>
  <c r="H428" i="21"/>
  <c r="F410" i="21"/>
  <c r="H410" i="21" s="1"/>
  <c r="H411" i="21"/>
  <c r="F401" i="21"/>
  <c r="H401" i="21" s="1"/>
  <c r="H402" i="21"/>
  <c r="F386" i="21"/>
  <c r="H387" i="21"/>
  <c r="F761" i="21"/>
  <c r="H761" i="21" s="1"/>
  <c r="H762" i="21"/>
  <c r="F649" i="21"/>
  <c r="H650" i="21"/>
  <c r="F276" i="21"/>
  <c r="H276" i="21" s="1"/>
  <c r="H277" i="21"/>
  <c r="F671" i="21"/>
  <c r="H671" i="21" s="1"/>
  <c r="H672" i="21"/>
  <c r="F627" i="21"/>
  <c r="H627" i="21" s="1"/>
  <c r="H628" i="21"/>
  <c r="F613" i="21"/>
  <c r="H613" i="21" s="1"/>
  <c r="H614" i="21"/>
  <c r="F586" i="21"/>
  <c r="H586" i="21" s="1"/>
  <c r="H587" i="21"/>
  <c r="F562" i="21"/>
  <c r="H562" i="21" s="1"/>
  <c r="H563" i="21"/>
  <c r="F540" i="21"/>
  <c r="H540" i="21" s="1"/>
  <c r="H541" i="21"/>
  <c r="F524" i="21"/>
  <c r="H524" i="21" s="1"/>
  <c r="H525" i="21"/>
  <c r="F462" i="21"/>
  <c r="H462" i="21" s="1"/>
  <c r="H463" i="21"/>
  <c r="F381" i="21"/>
  <c r="H381" i="21" s="1"/>
  <c r="H382" i="21"/>
  <c r="F369" i="21"/>
  <c r="H370" i="21"/>
  <c r="F349" i="21"/>
  <c r="H349" i="21" s="1"/>
  <c r="H350" i="21"/>
  <c r="F319" i="21"/>
  <c r="H320" i="21"/>
  <c r="F423" i="21"/>
  <c r="H423" i="21" s="1"/>
  <c r="H424" i="21"/>
  <c r="F407" i="21"/>
  <c r="H407" i="21" s="1"/>
  <c r="H408" i="21"/>
  <c r="F398" i="21"/>
  <c r="H398" i="21" s="1"/>
  <c r="H399" i="21"/>
  <c r="F396" i="21"/>
  <c r="H397" i="21"/>
  <c r="F756" i="21"/>
  <c r="H757" i="21"/>
  <c r="F789" i="21"/>
  <c r="H789" i="21" s="1"/>
  <c r="H790" i="21"/>
  <c r="F338" i="21"/>
  <c r="H339" i="21"/>
  <c r="F659" i="21"/>
  <c r="H659" i="21" s="1"/>
  <c r="H660" i="21"/>
  <c r="F212" i="21"/>
  <c r="H212" i="21" s="1"/>
  <c r="H213" i="21"/>
  <c r="F203" i="21"/>
  <c r="H204" i="21"/>
  <c r="F173" i="21"/>
  <c r="H174" i="21"/>
  <c r="F356" i="21"/>
  <c r="H356" i="21" s="1"/>
  <c r="H357" i="21"/>
  <c r="F725" i="21"/>
  <c r="F591" i="21"/>
  <c r="F774" i="21"/>
  <c r="F484" i="21"/>
  <c r="H484" i="21" s="1"/>
  <c r="F578" i="21"/>
  <c r="F72" i="21"/>
  <c r="H72" i="21" s="1"/>
  <c r="F244" i="21"/>
  <c r="H244" i="21" s="1"/>
  <c r="F249" i="21"/>
  <c r="H249" i="21" s="1"/>
  <c r="F23" i="21"/>
  <c r="F415" i="21"/>
  <c r="F37" i="21"/>
  <c r="H37" i="21" s="1"/>
  <c r="F148" i="21"/>
  <c r="H148" i="21" s="1"/>
  <c r="F220" i="21"/>
  <c r="F603" i="21"/>
  <c r="H603" i="21" s="1"/>
  <c r="F596" i="21"/>
  <c r="F471" i="21"/>
  <c r="F621" i="21"/>
  <c r="F62" i="21"/>
  <c r="F42" i="21"/>
  <c r="H42" i="21" s="1"/>
  <c r="H702" i="21" l="1"/>
  <c r="F701" i="21"/>
  <c r="H701" i="21" s="1"/>
  <c r="H668" i="21"/>
  <c r="F667" i="21"/>
  <c r="H667" i="21" s="1"/>
  <c r="H495" i="21"/>
  <c r="F494" i="21"/>
  <c r="F493" i="21" s="1"/>
  <c r="H386" i="21"/>
  <c r="H283" i="21"/>
  <c r="F282" i="21"/>
  <c r="H282" i="21" s="1"/>
  <c r="H226" i="21"/>
  <c r="F225" i="21"/>
  <c r="H225" i="21" s="1"/>
  <c r="F155" i="21"/>
  <c r="H155" i="21" s="1"/>
  <c r="F207" i="21"/>
  <c r="F206" i="21" s="1"/>
  <c r="F739" i="21"/>
  <c r="F732" i="21" s="1"/>
  <c r="F322" i="21"/>
  <c r="H322" i="21" s="1"/>
  <c r="F363" i="21"/>
  <c r="H363" i="21" s="1"/>
  <c r="F271" i="21"/>
  <c r="H271" i="21" s="1"/>
  <c r="F465" i="21"/>
  <c r="H465" i="21" s="1"/>
  <c r="F305" i="21"/>
  <c r="F304" i="21" s="1"/>
  <c r="H304" i="21" s="1"/>
  <c r="F535" i="21"/>
  <c r="F534" i="21" s="1"/>
  <c r="F193" i="21"/>
  <c r="F192" i="21" s="1"/>
  <c r="F191" i="21" s="1"/>
  <c r="F608" i="21"/>
  <c r="H608" i="21" s="1"/>
  <c r="F788" i="21"/>
  <c r="H788" i="21" s="1"/>
  <c r="F519" i="21"/>
  <c r="H519" i="21" s="1"/>
  <c r="F216" i="21"/>
  <c r="H216" i="21" s="1"/>
  <c r="H220" i="21"/>
  <c r="F796" i="21"/>
  <c r="H797" i="21"/>
  <c r="F718" i="21"/>
  <c r="H718" i="21" s="1"/>
  <c r="H719" i="21"/>
  <c r="F184" i="21"/>
  <c r="H185" i="21"/>
  <c r="F82" i="21"/>
  <c r="H83" i="21"/>
  <c r="F19" i="21"/>
  <c r="H20" i="21"/>
  <c r="F266" i="21"/>
  <c r="H266" i="21" s="1"/>
  <c r="H267" i="21"/>
  <c r="F288" i="21"/>
  <c r="H289" i="21"/>
  <c r="F94" i="21"/>
  <c r="H95" i="21"/>
  <c r="F443" i="21"/>
  <c r="H443" i="21" s="1"/>
  <c r="H444" i="21"/>
  <c r="F633" i="21"/>
  <c r="H634" i="21"/>
  <c r="F254" i="21"/>
  <c r="H254" i="21" s="1"/>
  <c r="H255" i="21"/>
  <c r="F375" i="21"/>
  <c r="H376" i="21"/>
  <c r="F123" i="21"/>
  <c r="H124" i="21"/>
  <c r="F577" i="21"/>
  <c r="H578" i="21"/>
  <c r="F724" i="21"/>
  <c r="H725" i="21"/>
  <c r="F755" i="21"/>
  <c r="H756" i="21"/>
  <c r="F292" i="21"/>
  <c r="H293" i="21"/>
  <c r="F404" i="21"/>
  <c r="H404" i="21" s="1"/>
  <c r="H405" i="21"/>
  <c r="F359" i="21"/>
  <c r="H360" i="21"/>
  <c r="F260" i="21"/>
  <c r="H260" i="21" s="1"/>
  <c r="H261" i="21"/>
  <c r="F340" i="21"/>
  <c r="H340" i="21" s="1"/>
  <c r="H341" i="21"/>
  <c r="F572" i="21"/>
  <c r="H573" i="21"/>
  <c r="F760" i="21"/>
  <c r="F501" i="21"/>
  <c r="F617" i="21"/>
  <c r="H621" i="21"/>
  <c r="F453" i="21"/>
  <c r="F162" i="21"/>
  <c r="H162" i="21" s="1"/>
  <c r="H774" i="21"/>
  <c r="F58" i="21"/>
  <c r="H62" i="21"/>
  <c r="F595" i="21"/>
  <c r="H595" i="21" s="1"/>
  <c r="H596" i="21"/>
  <c r="F414" i="21"/>
  <c r="H415" i="21"/>
  <c r="F172" i="21"/>
  <c r="H172" i="21" s="1"/>
  <c r="H173" i="21"/>
  <c r="F337" i="21"/>
  <c r="H338" i="21"/>
  <c r="F450" i="21"/>
  <c r="H450" i="21" s="1"/>
  <c r="H451" i="21"/>
  <c r="F31" i="21"/>
  <c r="H32" i="21"/>
  <c r="F528" i="21"/>
  <c r="H528" i="21" s="1"/>
  <c r="H529" i="21"/>
  <c r="F561" i="21"/>
  <c r="F696" i="21"/>
  <c r="F470" i="21"/>
  <c r="H470" i="21" s="1"/>
  <c r="H471" i="21"/>
  <c r="H23" i="21"/>
  <c r="F590" i="21"/>
  <c r="H591" i="21"/>
  <c r="F129" i="21"/>
  <c r="H129" i="21" s="1"/>
  <c r="F202" i="21"/>
  <c r="H203" i="21"/>
  <c r="F395" i="21"/>
  <c r="H396" i="21"/>
  <c r="F318" i="21"/>
  <c r="H318" i="21" s="1"/>
  <c r="H319" i="21"/>
  <c r="F368" i="21"/>
  <c r="H368" i="21" s="1"/>
  <c r="H369" i="21"/>
  <c r="F648" i="21"/>
  <c r="H649" i="21"/>
  <c r="F545" i="21"/>
  <c r="H546" i="21"/>
  <c r="F169" i="21"/>
  <c r="H169" i="21" s="1"/>
  <c r="H170" i="21"/>
  <c r="F98" i="21"/>
  <c r="H99" i="21"/>
  <c r="F555" i="21"/>
  <c r="H556" i="21"/>
  <c r="F713" i="21"/>
  <c r="H714" i="21"/>
  <c r="F278" i="21"/>
  <c r="H278" i="21" s="1"/>
  <c r="H279" i="21"/>
  <c r="F136" i="21"/>
  <c r="H136" i="21" s="1"/>
  <c r="H137" i="21"/>
  <c r="F13" i="21"/>
  <c r="H14" i="21"/>
  <c r="F655" i="21"/>
  <c r="H655" i="21" s="1"/>
  <c r="H656" i="21"/>
  <c r="H803" i="21"/>
  <c r="F771" i="21"/>
  <c r="H772" i="21"/>
  <c r="F513" i="21"/>
  <c r="H513" i="21" s="1"/>
  <c r="H514" i="21"/>
  <c r="F549" i="21"/>
  <c r="H549" i="21" s="1"/>
  <c r="H550" i="21"/>
  <c r="F87" i="21"/>
  <c r="H88" i="21"/>
  <c r="F52" i="21"/>
  <c r="H53" i="21"/>
  <c r="F748" i="21"/>
  <c r="H749" i="21"/>
  <c r="F330" i="21"/>
  <c r="H331" i="21"/>
  <c r="F440" i="21"/>
  <c r="H441" i="21"/>
  <c r="F430" i="21"/>
  <c r="H430" i="21" s="1"/>
  <c r="H431" i="21"/>
  <c r="F236" i="21"/>
  <c r="H236" i="21" s="1"/>
  <c r="H237" i="21"/>
  <c r="F141" i="21"/>
  <c r="H142" i="21"/>
  <c r="F480" i="21"/>
  <c r="F68" i="21"/>
  <c r="F36" i="21"/>
  <c r="F385" i="21" l="1"/>
  <c r="F270" i="21"/>
  <c r="H270" i="21" s="1"/>
  <c r="F787" i="21"/>
  <c r="H787" i="21" s="1"/>
  <c r="H494" i="21"/>
  <c r="H207" i="21"/>
  <c r="H305" i="21"/>
  <c r="F461" i="21"/>
  <c r="H461" i="21" s="1"/>
  <c r="H739" i="21"/>
  <c r="F362" i="21"/>
  <c r="H362" i="21" s="1"/>
  <c r="H193" i="21"/>
  <c r="F147" i="21"/>
  <c r="H535" i="21"/>
  <c r="F215" i="21"/>
  <c r="F214" i="21" s="1"/>
  <c r="H214" i="21" s="1"/>
  <c r="F594" i="21"/>
  <c r="H594" i="21" s="1"/>
  <c r="F240" i="21"/>
  <c r="H240" i="21" s="1"/>
  <c r="H330" i="21"/>
  <c r="F329" i="21"/>
  <c r="F51" i="21"/>
  <c r="H52" i="21"/>
  <c r="F770" i="21"/>
  <c r="H771" i="21"/>
  <c r="F712" i="21"/>
  <c r="H713" i="21"/>
  <c r="H98" i="21"/>
  <c r="F97" i="21"/>
  <c r="H97" i="21" s="1"/>
  <c r="F544" i="21"/>
  <c r="H545" i="21"/>
  <c r="H395" i="21"/>
  <c r="F426" i="21"/>
  <c r="H426" i="21" s="1"/>
  <c r="F692" i="21"/>
  <c r="H696" i="21"/>
  <c r="F57" i="21"/>
  <c r="H57" i="21" s="1"/>
  <c r="H58" i="21"/>
  <c r="F616" i="21"/>
  <c r="H617" i="21"/>
  <c r="F759" i="21"/>
  <c r="H759" i="21" s="1"/>
  <c r="H760" i="21"/>
  <c r="H359" i="21"/>
  <c r="F355" i="21"/>
  <c r="H292" i="21"/>
  <c r="F291" i="21"/>
  <c r="H291" i="21" s="1"/>
  <c r="F205" i="21"/>
  <c r="H205" i="21" s="1"/>
  <c r="H206" i="21"/>
  <c r="F723" i="21"/>
  <c r="H724" i="21"/>
  <c r="H192" i="21"/>
  <c r="F269" i="21"/>
  <c r="H269" i="21" s="1"/>
  <c r="H123" i="21"/>
  <c r="F122" i="21"/>
  <c r="H122" i="21" s="1"/>
  <c r="F287" i="21"/>
  <c r="H288" i="21"/>
  <c r="F18" i="21"/>
  <c r="H19" i="21"/>
  <c r="F183" i="21"/>
  <c r="H184" i="21"/>
  <c r="F795" i="21"/>
  <c r="H795" i="21" s="1"/>
  <c r="H796" i="21"/>
  <c r="F731" i="21"/>
  <c r="H731" i="21" s="1"/>
  <c r="H732" i="21"/>
  <c r="F500" i="21"/>
  <c r="H501" i="21"/>
  <c r="F67" i="21"/>
  <c r="H68" i="21"/>
  <c r="F140" i="21"/>
  <c r="H140" i="21" s="1"/>
  <c r="H141" i="21"/>
  <c r="F479" i="21"/>
  <c r="H480" i="21"/>
  <c r="F560" i="21"/>
  <c r="H561" i="21"/>
  <c r="F35" i="21"/>
  <c r="H36" i="21"/>
  <c r="H440" i="21"/>
  <c r="F439" i="21"/>
  <c r="H439" i="21" s="1"/>
  <c r="F747" i="21"/>
  <c r="H748" i="21"/>
  <c r="F86" i="21"/>
  <c r="H87" i="21"/>
  <c r="F801" i="21"/>
  <c r="H802" i="21"/>
  <c r="F12" i="21"/>
  <c r="H13" i="21"/>
  <c r="F554" i="21"/>
  <c r="H555" i="21"/>
  <c r="H648" i="21"/>
  <c r="F647" i="21"/>
  <c r="F201" i="21"/>
  <c r="H201" i="21" s="1"/>
  <c r="H202" i="21"/>
  <c r="F585" i="21"/>
  <c r="H585" i="21" s="1"/>
  <c r="H590" i="21"/>
  <c r="F30" i="21"/>
  <c r="H31" i="21"/>
  <c r="H337" i="21"/>
  <c r="F336" i="21"/>
  <c r="H336" i="21" s="1"/>
  <c r="F413" i="21"/>
  <c r="H413" i="21" s="1"/>
  <c r="H414" i="21"/>
  <c r="F449" i="21"/>
  <c r="H453" i="21"/>
  <c r="F571" i="21"/>
  <c r="H571" i="21" s="1"/>
  <c r="H572" i="21"/>
  <c r="F754" i="21"/>
  <c r="H755" i="21"/>
  <c r="F492" i="21"/>
  <c r="H492" i="21" s="1"/>
  <c r="H493" i="21"/>
  <c r="F576" i="21"/>
  <c r="H576" i="21" s="1"/>
  <c r="H577" i="21"/>
  <c r="H534" i="21"/>
  <c r="F518" i="21"/>
  <c r="H375" i="21"/>
  <c r="F371" i="21"/>
  <c r="H371" i="21" s="1"/>
  <c r="H633" i="21"/>
  <c r="F626" i="21"/>
  <c r="H626" i="21" s="1"/>
  <c r="F93" i="21"/>
  <c r="H94" i="21"/>
  <c r="F81" i="21"/>
  <c r="H82" i="21"/>
  <c r="F786" i="21" l="1"/>
  <c r="F785" i="21" s="1"/>
  <c r="F460" i="21"/>
  <c r="H460" i="21" s="1"/>
  <c r="H147" i="21"/>
  <c r="F146" i="21"/>
  <c r="H146" i="21" s="1"/>
  <c r="H215" i="21"/>
  <c r="F235" i="21"/>
  <c r="H235" i="21" s="1"/>
  <c r="F85" i="21"/>
  <c r="H85" i="21" s="1"/>
  <c r="H86" i="21"/>
  <c r="F691" i="21"/>
  <c r="H692" i="21"/>
  <c r="F80" i="21"/>
  <c r="H80" i="21" s="1"/>
  <c r="H81" i="21"/>
  <c r="F543" i="21"/>
  <c r="H544" i="21"/>
  <c r="F711" i="21"/>
  <c r="H711" i="21" s="1"/>
  <c r="H712" i="21"/>
  <c r="F50" i="21"/>
  <c r="H50" i="21" s="1"/>
  <c r="H51" i="21"/>
  <c r="F753" i="21"/>
  <c r="H754" i="21"/>
  <c r="F11" i="21"/>
  <c r="H12" i="21"/>
  <c r="H560" i="21"/>
  <c r="F559" i="21"/>
  <c r="H559" i="21" s="1"/>
  <c r="F56" i="21"/>
  <c r="H56" i="21" s="1"/>
  <c r="H67" i="21"/>
  <c r="H18" i="21"/>
  <c r="F17" i="21"/>
  <c r="H17" i="21" s="1"/>
  <c r="F190" i="21"/>
  <c r="H191" i="21"/>
  <c r="F615" i="21"/>
  <c r="H615" i="21" s="1"/>
  <c r="H616" i="21"/>
  <c r="F448" i="21"/>
  <c r="H449" i="21"/>
  <c r="F29" i="21"/>
  <c r="H29" i="21" s="1"/>
  <c r="H30" i="21"/>
  <c r="F553" i="21"/>
  <c r="H553" i="21" s="1"/>
  <c r="H554" i="21"/>
  <c r="F800" i="21"/>
  <c r="H800" i="21" s="1"/>
  <c r="H801" i="21"/>
  <c r="F746" i="21"/>
  <c r="H746" i="21" s="1"/>
  <c r="H747" i="21"/>
  <c r="H35" i="21"/>
  <c r="F478" i="21"/>
  <c r="H478" i="21" s="1"/>
  <c r="H479" i="21"/>
  <c r="F499" i="21"/>
  <c r="H500" i="21"/>
  <c r="F182" i="21"/>
  <c r="H182" i="21" s="1"/>
  <c r="H183" i="21"/>
  <c r="F286" i="21"/>
  <c r="H287" i="21"/>
  <c r="F722" i="21"/>
  <c r="H723" i="21"/>
  <c r="H385" i="21"/>
  <c r="F384" i="21"/>
  <c r="H384" i="21" s="1"/>
  <c r="H329" i="21"/>
  <c r="F317" i="21"/>
  <c r="F517" i="21"/>
  <c r="H517" i="21" s="1"/>
  <c r="H518" i="21"/>
  <c r="F459" i="21"/>
  <c r="H93" i="21"/>
  <c r="F92" i="21"/>
  <c r="H92" i="21" s="1"/>
  <c r="F646" i="21"/>
  <c r="H647" i="21"/>
  <c r="H355" i="21"/>
  <c r="F354" i="21"/>
  <c r="H770" i="21"/>
  <c r="F769" i="21"/>
  <c r="H786" i="21" l="1"/>
  <c r="F584" i="21"/>
  <c r="H584" i="21" s="1"/>
  <c r="F28" i="21"/>
  <c r="H28" i="21" s="1"/>
  <c r="F234" i="21"/>
  <c r="H234" i="21" s="1"/>
  <c r="F645" i="21"/>
  <c r="H645" i="21" s="1"/>
  <c r="H646" i="21"/>
  <c r="F353" i="21"/>
  <c r="H354" i="21"/>
  <c r="H459" i="21"/>
  <c r="F458" i="21"/>
  <c r="H458" i="21" s="1"/>
  <c r="H722" i="21"/>
  <c r="F717" i="21"/>
  <c r="F447" i="21"/>
  <c r="H448" i="21"/>
  <c r="H543" i="21"/>
  <c r="F533" i="21"/>
  <c r="H533" i="21" s="1"/>
  <c r="F316" i="21"/>
  <c r="H316" i="21" s="1"/>
  <c r="H317" i="21"/>
  <c r="F189" i="21"/>
  <c r="H190" i="21"/>
  <c r="F10" i="21"/>
  <c r="H10" i="21" s="1"/>
  <c r="H11" i="21"/>
  <c r="F145" i="21"/>
  <c r="F768" i="21"/>
  <c r="H769" i="21"/>
  <c r="H286" i="21"/>
  <c r="F281" i="21"/>
  <c r="H281" i="21" s="1"/>
  <c r="H499" i="21"/>
  <c r="H753" i="21"/>
  <c r="F690" i="21"/>
  <c r="F666" i="21" s="1"/>
  <c r="F665" i="21" s="1"/>
  <c r="H691" i="21"/>
  <c r="F784" i="21"/>
  <c r="H784" i="21" s="1"/>
  <c r="H785" i="21"/>
  <c r="F583" i="21" l="1"/>
  <c r="H583" i="21" s="1"/>
  <c r="F200" i="21"/>
  <c r="H200" i="21" s="1"/>
  <c r="F91" i="21"/>
  <c r="H145" i="21"/>
  <c r="F188" i="21"/>
  <c r="H188" i="21" s="1"/>
  <c r="H189" i="21"/>
  <c r="F352" i="21"/>
  <c r="H352" i="21" s="1"/>
  <c r="H353" i="21"/>
  <c r="H690" i="21"/>
  <c r="F767" i="21"/>
  <c r="H768" i="21"/>
  <c r="F710" i="21"/>
  <c r="H710" i="21" s="1"/>
  <c r="H717" i="21"/>
  <c r="H447" i="21"/>
  <c r="F446" i="21"/>
  <c r="F498" i="21" l="1"/>
  <c r="H498" i="21" s="1"/>
  <c r="F315" i="21"/>
  <c r="H315" i="21" s="1"/>
  <c r="H446" i="21"/>
  <c r="F9" i="21"/>
  <c r="H91" i="21"/>
  <c r="H767" i="21"/>
  <c r="F752" i="21"/>
  <c r="H752" i="21" s="1"/>
  <c r="H666" i="21"/>
  <c r="H9" i="21" l="1"/>
  <c r="F644" i="21"/>
  <c r="H644" i="21" s="1"/>
  <c r="H665" i="21"/>
  <c r="F8" i="21" l="1"/>
  <c r="H8" i="21" s="1"/>
</calcChain>
</file>

<file path=xl/sharedStrings.xml><?xml version="1.0" encoding="utf-8"?>
<sst xmlns="http://schemas.openxmlformats.org/spreadsheetml/2006/main" count="9129" uniqueCount="834">
  <si>
    <t>Мероприятие "Капитальный ремонт путевода через железную дорогу по ул.Трассовой в г.Владикавказе"</t>
  </si>
  <si>
    <t>10 0 07 00168</t>
  </si>
  <si>
    <t>Мероприятие "Ремонт детских и спортивных площадок в г.Владикавказе"</t>
  </si>
  <si>
    <t>10 0 17 00177</t>
  </si>
  <si>
    <t>Мероприятие "Ремонт подземного перехода"</t>
  </si>
  <si>
    <t>10 0 19 00179</t>
  </si>
  <si>
    <t>10 0 09 00169</t>
  </si>
  <si>
    <t>10 0 10 00170</t>
  </si>
  <si>
    <t>Мероприятие "Благоустройство парков, скверов, набережных и дворовых территорий"</t>
  </si>
  <si>
    <t>Мероприятие "Ремонт стадиона им. В.М. Коняева в г.Владикавказе"</t>
  </si>
  <si>
    <t>10 0 12 00172</t>
  </si>
  <si>
    <t>Муниципальная программа "Формирование современной городской среды на территории муниципального образования г.Владикавказа на 2018-2022 годы"</t>
  </si>
  <si>
    <t>13 0 00 00000</t>
  </si>
  <si>
    <t>99 9 0М L4970</t>
  </si>
  <si>
    <t>Мероприятие "Подготовка и издание информационно-справочных пособий для предпринимателей по вопросам регулирования торговой деятельности, налогооблажения, бухгалтерского учета, кредитования, а также вопросов, связанных с началом предпринимательской деятельности"</t>
  </si>
  <si>
    <t>03 3 R1 53934</t>
  </si>
  <si>
    <t>Приложение №1</t>
  </si>
  <si>
    <t>Реконструкция, капитальный ремонт и ремонт автомобильных дорог местного значения (улично-дорожной сети) г.Владикавказа</t>
  </si>
  <si>
    <t>03 3 R1 28072</t>
  </si>
  <si>
    <t>Мероприятия по снижению количества мест концентрации дорожно-транспортных происшествий (аварийно-опасных участков) на дорожной сети в два раза по сравнению с 2017 годом на автодорогах местного значения (улично-дорожной сети) г.Владикавказа</t>
  </si>
  <si>
    <t>03 3 R1 28076</t>
  </si>
  <si>
    <t>05 0 02 00127</t>
  </si>
  <si>
    <t>Мероприятие по корректировке генерального плана и правил землепользования и застройки г.Владикавказ</t>
  </si>
  <si>
    <t>Разработка нормативов градостроительного проектирования г.Владикавказ</t>
  </si>
  <si>
    <t>99 9 00 00131</t>
  </si>
  <si>
    <t>99 9 00 00132</t>
  </si>
  <si>
    <t>02 0 01 00136</t>
  </si>
  <si>
    <t>04 0 11 00161</t>
  </si>
  <si>
    <t>99 9 00 00142</t>
  </si>
  <si>
    <t>Подпрограмма "Вовлечение общественности в предупреждение правонарушений"</t>
  </si>
  <si>
    <t>Мероприятие "Материальное стимулирование деятельности народных дружинников"</t>
  </si>
  <si>
    <t>12 1 01 00124</t>
  </si>
  <si>
    <t>12 1 00 00000</t>
  </si>
  <si>
    <t>99 9 00 00146</t>
  </si>
  <si>
    <t>03 2 01 00148</t>
  </si>
  <si>
    <t>03 3 02 00149</t>
  </si>
  <si>
    <t>03 1 02 00147</t>
  </si>
  <si>
    <t>03 3 04 00147</t>
  </si>
  <si>
    <t>03 4 01 00150</t>
  </si>
  <si>
    <t>03 4 02 00151</t>
  </si>
  <si>
    <t>04 0 01 00152</t>
  </si>
  <si>
    <t>04 0 02 00153</t>
  </si>
  <si>
    <t>04 0 03 00154</t>
  </si>
  <si>
    <t>04 0 04 00155</t>
  </si>
  <si>
    <t>04 0 05 00156</t>
  </si>
  <si>
    <t>04 0 06 00157</t>
  </si>
  <si>
    <t>04 0 07 00147</t>
  </si>
  <si>
    <t>04 0 09 00159</t>
  </si>
  <si>
    <t>04 0 10 00160</t>
  </si>
  <si>
    <t>Муниципальная программа "Развитие жилищно-коммунального хозяйства муниципального образования город Владикавказ на 2018-2021 годы"</t>
  </si>
  <si>
    <t>09 2 01 00198</t>
  </si>
  <si>
    <t>09 1 02 00197</t>
  </si>
  <si>
    <t>Подпрограмма  «Снос аварийного жилья в г.Владикавказе»</t>
  </si>
  <si>
    <t>09 5 00 00000</t>
  </si>
  <si>
    <t>09 5 01 00203</t>
  </si>
  <si>
    <t>09 5 02 00204</t>
  </si>
  <si>
    <t xml:space="preserve"> 09 7 06 00210</t>
  </si>
  <si>
    <t xml:space="preserve"> 09 7 0М S9601</t>
  </si>
  <si>
    <t>09 4 01 00202</t>
  </si>
  <si>
    <t>09 6 00 00205</t>
  </si>
  <si>
    <t>09 3 02 00200</t>
  </si>
  <si>
    <t>09 7 02 00206</t>
  </si>
  <si>
    <t>09 7 03 00207</t>
  </si>
  <si>
    <t>09 7 04 00208</t>
  </si>
  <si>
    <t>09 7 00 00110</t>
  </si>
  <si>
    <t>09 7 00 00190</t>
  </si>
  <si>
    <t xml:space="preserve"> 09 7 05 00209</t>
  </si>
  <si>
    <t>Муниципальная программа "Развитие  молодежной политики, физической культуры и спорта в МО г.Владикавказ на 2018 -2021 годы"</t>
  </si>
  <si>
    <t>11 1 01 00180</t>
  </si>
  <si>
    <t>11 3 01 00182</t>
  </si>
  <si>
    <t>13 0 F2 55554</t>
  </si>
  <si>
    <t>11 2 01 00181</t>
  </si>
  <si>
    <t>08 3 01 00193</t>
  </si>
  <si>
    <t>08 2 01 00190</t>
  </si>
  <si>
    <t>08 2 02 00191</t>
  </si>
  <si>
    <t>08 2 03 00192</t>
  </si>
  <si>
    <t>08 3 03 00195</t>
  </si>
  <si>
    <t>Финансовое обеспечение деятельности МБУК "Централизованная библиотечная система г.Владикавказа"</t>
  </si>
  <si>
    <t>08 3 02 00194</t>
  </si>
  <si>
    <t>08 1 02 00184</t>
  </si>
  <si>
    <t>08 1 01 00183</t>
  </si>
  <si>
    <t>08 1 03 00185</t>
  </si>
  <si>
    <t>08 1 05 00187</t>
  </si>
  <si>
    <t>08 1 06 00188</t>
  </si>
  <si>
    <t>08 1 07 00189</t>
  </si>
  <si>
    <t>Компенсация части родительской платы за содержание ребёнка в государственных и образовательных учреждениях, реализующих основную общеобразовательную программу дошкольного образования в соответствии с Законом Республики Северная Осетия-Алания от 31 июля 2006 года №42-РЗ "Об образовании"</t>
  </si>
  <si>
    <t>Субсидии юридическим лицам (кроме некоммерческих организаций), индивидуальным предпринимателям, физическим лицам</t>
  </si>
  <si>
    <t>Уплата налогов, сборов и иных платежей</t>
  </si>
  <si>
    <t>10</t>
  </si>
  <si>
    <t>Субсидии автономным учреждениям</t>
  </si>
  <si>
    <t>620</t>
  </si>
  <si>
    <t>310</t>
  </si>
  <si>
    <t>Единый налог на вмененный доход для отдельных видов деятельности</t>
  </si>
  <si>
    <t>Единый сельскохозяйственный налог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</si>
  <si>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</si>
  <si>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</si>
  <si>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Расходы на выплаты по оплате труда работников органов местного самоуправления  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</si>
  <si>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</si>
  <si>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Осуществление полномочий Республики Северная Осетия-Алания по организации и поддержки учреждений культуры</t>
  </si>
  <si>
    <t>Непрограммные расходы на обеспечения функционирования Собрания представителей г.Владикавказ</t>
  </si>
  <si>
    <t>Расходы на выплаты по оплате труда работников представительного органа</t>
  </si>
  <si>
    <t>Подраздел</t>
  </si>
  <si>
    <t>Раздел</t>
  </si>
  <si>
    <t>Непрограммные расходы представительного органа</t>
  </si>
  <si>
    <t>99 9 00 00139</t>
  </si>
  <si>
    <t>Расходы на выплаты по оплате труда работников административной коммиссии</t>
  </si>
  <si>
    <t>Софинансирование местного бюджета городского округа г. Владикавказ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</si>
  <si>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Расходы на выплаты персоналу Контрольно-счетной палаты муниципального образования г.Владикавказ (Дзауджикау)</t>
  </si>
  <si>
    <t>Расходы на обеспечение функций Контрольно-счетной палаты муниципального образования г.Владикавказ (Дзауджикау)</t>
  </si>
  <si>
    <t>Расходы на содержание ВМКУ "Правовой центр"</t>
  </si>
  <si>
    <t>Мероприятие "Сопровождение системы электронного взаимодействия АМС г.Владикавказа (СЭВ)"</t>
  </si>
  <si>
    <t>Мероприятие "Сопровождение системы электронного делопрозводства и документооборота (СЭД)"</t>
  </si>
  <si>
    <t>Мероприятие "Сопровождение информационной системы для взаимодействия с Государственной информационной системой о государственных и муниципальных платежах (ГИС ГМП)"</t>
  </si>
  <si>
    <t>Мероприятие "Справочно-правовые системы (Гарант, Консультант и т.д.)"</t>
  </si>
  <si>
    <t>Мероприятие "Оплата услуг городской, междугородней и международной телефонной связи"</t>
  </si>
  <si>
    <t>Мероприятие "Предоставление цифровых оптоволоконных каналов связи"</t>
  </si>
  <si>
    <t>Подпрограмма "Обеспечение защиты информации"</t>
  </si>
  <si>
    <t>01 3 00 00000</t>
  </si>
  <si>
    <t>Мероприятие "Аттестация, контроль эффективности защиты государственной тайны"</t>
  </si>
  <si>
    <t>Расходы на содержание ВМКУ "Управление по делам ГО и ЧС"</t>
  </si>
  <si>
    <t>03 3 0Р S6740</t>
  </si>
  <si>
    <t>03 3 0М S6740</t>
  </si>
  <si>
    <t xml:space="preserve">Софинансирование на обеспечение мероприятий по формированию современной городской среды </t>
  </si>
  <si>
    <t>Расходы на содержание ВМКУ "ТИЦ - Владикавказ - ТВ"</t>
  </si>
  <si>
    <t xml:space="preserve">Предоставление субсидии местному бюджету городского округа г. Владикавказ на дорожную деятельность в отношении автомобильных дорог общего пользования местного значения </t>
  </si>
  <si>
    <t xml:space="preserve">Расходы на обеспечение деятельности (оказания услуг)  муниципального учреждения ВМБУ РГГ "Владикавказ"   </t>
  </si>
  <si>
    <t>Мероприятие "Оказание материальной помощи малообеспеченным семьям (одиноко проживающим гражданам) по обращениям"</t>
  </si>
  <si>
    <t>Расходы на учреждение по обеспечению хозяйственного обслуживания ВМКУ ТХО АМС г. Владикавказа</t>
  </si>
  <si>
    <t>Подпрограмма "Обеспечение деятельности муниципальных учреждений подведомственных КМПФКС АМС г.Владикавказа"</t>
  </si>
  <si>
    <t>11 0 00 00000</t>
  </si>
  <si>
    <t>11 3 00 00000</t>
  </si>
  <si>
    <t>Мероприятие "Обеспечение деятельности учреждений дополнительного образования детей"</t>
  </si>
  <si>
    <t>Подпрограмма "Реализация мероприятий в области  молодежной политики"</t>
  </si>
  <si>
    <t>11 1 00 00000</t>
  </si>
  <si>
    <t>99 9 00 00104</t>
  </si>
  <si>
    <t>Подпрограмма "Поддержка и совершенствование информационно-коммуникационной инфраструктуры"</t>
  </si>
  <si>
    <t>01 2 01 00108</t>
  </si>
  <si>
    <t>01 2 02 00109</t>
  </si>
  <si>
    <t>01 2 04 00112</t>
  </si>
  <si>
    <t>01 2 05 00113</t>
  </si>
  <si>
    <t>01 2 06 00114</t>
  </si>
  <si>
    <t>01 2 07 00115</t>
  </si>
  <si>
    <t>01 2 08 00116</t>
  </si>
  <si>
    <t>01 2 09 00117</t>
  </si>
  <si>
    <t>01 3 01 00118</t>
  </si>
  <si>
    <t>01 3 04 00121</t>
  </si>
  <si>
    <t>06 0 00 00123</t>
  </si>
  <si>
    <t>Муниципальная программа "Профилактика правонарушений в городе Владикавказе на 2019 год"</t>
  </si>
  <si>
    <t>Подпрограмма "Капитальный ремонт  многоквартирных домов в г.Владикавказе"</t>
  </si>
  <si>
    <t>Мероприятие "Содержание бюджетных учреждений жилищно-коммунального хозяйства"</t>
  </si>
  <si>
    <t>Мероприятие "Содержание казенных учреждений жилищно-коммунального хозяйства"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</si>
  <si>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</si>
  <si>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Физическая культура</t>
  </si>
  <si>
    <t>Подпрограмма "Реализация мероприятий в области физической культуре и спорта, пропаганда здорового образа жизни"</t>
  </si>
  <si>
    <t>Мероприятие "Субсидия социально-ориентированным некоммерческим организациям патриотической направленности"</t>
  </si>
  <si>
    <t>11 2 00 00000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</si>
  <si>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</si>
  <si>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</si>
  <si>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</si>
  <si>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</si>
  <si>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муниципального имущества и земельных ресурсов АМС г. Владикавказа</t>
  </si>
  <si>
    <t>08 4 00 00110</t>
  </si>
  <si>
    <t>08 4 00 00190</t>
  </si>
  <si>
    <t xml:space="preserve">Непрограммные расходы органов местного самоуправления </t>
  </si>
  <si>
    <t>Подпрограмма «Развитие культурной жизни г.Владикавказа»</t>
  </si>
  <si>
    <t>01</t>
  </si>
  <si>
    <t>00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</si>
  <si>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</si>
  <si>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</si>
  <si>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</si>
  <si>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</si>
  <si>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 xml:space="preserve">Обеспечение жильем молодых семей </t>
  </si>
  <si>
    <t>99 9 0Р L4970</t>
  </si>
  <si>
    <t>120</t>
  </si>
  <si>
    <t>Расходы на обеспечение функций органов местного самоуправления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</si>
  <si>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</si>
  <si>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</si>
  <si>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</si>
  <si>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</si>
  <si>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</si>
  <si>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850</t>
  </si>
  <si>
    <t>11</t>
  </si>
  <si>
    <t>Резервный фонд администрации местного самоуправления</t>
  </si>
  <si>
    <t>Резервные средства</t>
  </si>
  <si>
    <t>13</t>
  </si>
  <si>
    <t>300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</si>
  <si>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</si>
  <si>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</si>
  <si>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</si>
  <si>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Подпрограмма «Обеспечение деятельности и выполнения функций УТДС АМС г.Владикавказа»</t>
  </si>
  <si>
    <t>12 0 00 00000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</si>
  <si>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</si>
  <si>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</si>
  <si>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 xml:space="preserve">Иные непрограммные расходы </t>
  </si>
  <si>
    <t>Мероприятие "Проведение праздничных  мероприятий"</t>
  </si>
  <si>
    <t>Наименование</t>
  </si>
  <si>
    <t>Целевая статья расходов</t>
  </si>
  <si>
    <t>ВСЕГО РАСХОДОВ</t>
  </si>
  <si>
    <t>ОБЩЕГОСУДАРСТВЕННЫЕ ВОПРОСЫ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</si>
  <si>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</si>
  <si>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</si>
  <si>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</si>
  <si>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</si>
  <si>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</si>
  <si>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Ведомственная структура расходов бюджета муниципального образования г.Владикавказ на 2019 год</t>
  </si>
  <si>
    <t>99 9 00 00143</t>
  </si>
  <si>
    <t>99 9 00 00145</t>
  </si>
  <si>
    <t>Обеспечение проведения выборов и референдумов</t>
  </si>
  <si>
    <t>Специальные расходы</t>
  </si>
  <si>
    <t>880</t>
  </si>
  <si>
    <t>Подпрограмма "Энергосбережение и повышение энергетической эффективности на территории города Владикавказа"</t>
  </si>
  <si>
    <t>Непрограммые расходы органов местного самоуправления</t>
  </si>
  <si>
    <t>09 7 00 00000</t>
  </si>
  <si>
    <t>Расходы на содержание ВМБУ "Центр цифрового развития и информационных технологий"</t>
  </si>
  <si>
    <t>01 1 02 00107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</si>
  <si>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</si>
  <si>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612</t>
  </si>
  <si>
    <t>Мероприятие "Проектные работы"</t>
  </si>
  <si>
    <t>78 9 00 00000</t>
  </si>
  <si>
    <t>07 2 01 00000</t>
  </si>
  <si>
    <t>Субсидии некоммерческим организациям (за исключением государственных (муниципальных) учреждений)</t>
  </si>
  <si>
    <t>605</t>
  </si>
  <si>
    <t xml:space="preserve">603 </t>
  </si>
  <si>
    <t>08 3 0Ф L5190</t>
  </si>
  <si>
    <t>Мероприятия на поддержку отрасли культуры за счет средств бюджетов</t>
  </si>
  <si>
    <t>Управление благоустройства и озеленения администрации местного самоуправления г.Владикавказ</t>
  </si>
  <si>
    <t>Расходы на обеспечение функций представительного органа</t>
  </si>
  <si>
    <t>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учреждениях республики в каникулярное время</t>
  </si>
  <si>
    <t>Исполнение судебных актов</t>
  </si>
  <si>
    <t>Подпрограмма "Обеспечение деятельности и выполнения функций Комитета ЖКХЭ"</t>
  </si>
  <si>
    <t>09 4 00 00000</t>
  </si>
  <si>
    <t>Подпрограмма "Техническое оснащение коммунальной инфраструктуры г.Владикавказ"</t>
  </si>
  <si>
    <t>830</t>
  </si>
  <si>
    <t>Уплата прочих налогов, сборов и иных платежей</t>
  </si>
  <si>
    <t>Иные источники внутреннего финансирования дефицитов бюджетов</t>
  </si>
  <si>
    <t>Массовый спорт</t>
  </si>
  <si>
    <t>Публичные нормативные социальные выплаты гражданам</t>
  </si>
  <si>
    <t>Взносы за капитальный ремонт квартир и домовладений, находящихся в муниципальной собственности</t>
  </si>
  <si>
    <t>13 0 F2 55550</t>
  </si>
  <si>
    <t>Закупка товаров, работ и услугдля государственных (муниципальных) нужд</t>
  </si>
  <si>
    <t>07 0 00 00000</t>
  </si>
  <si>
    <t>07 1 00 00000</t>
  </si>
  <si>
    <t>07 1 01 00000</t>
  </si>
  <si>
    <t>07 1 0Р 21240</t>
  </si>
  <si>
    <t>Управление транспорта и дорожного строительства администрации местного самоуправления города Владикавказа</t>
  </si>
  <si>
    <t>602</t>
  </si>
  <si>
    <t>07 1 02 00000</t>
  </si>
  <si>
    <t>07 1 03 00000</t>
  </si>
  <si>
    <t>07 2 00 00000</t>
  </si>
  <si>
    <t>07 3 00 00000</t>
  </si>
  <si>
    <t>07 4 00 00000</t>
  </si>
  <si>
    <t>Мероприятие "Обеспечение деятельности (оказания услуг) ВМКУ "Организационно-методический центр"</t>
  </si>
  <si>
    <t>Мероприятие "Ремонт школ и детских садов"</t>
  </si>
  <si>
    <t>Подпрограмма "Повышение эффективности муниципального управления за счет внедрения и использования современных информационно-коммуникационных технологий"</t>
  </si>
  <si>
    <t>01 1 00 00000</t>
  </si>
  <si>
    <t>Мероприятие "Внедрение  и сопровождение информационной системы обеспечения градостроительной деятельности (ИСОГД)"</t>
  </si>
  <si>
    <t>Мероприятие "Обеспечение деятельности Управления образования АМС г.Владикавказа"</t>
  </si>
  <si>
    <t>Мероприятие "Оказание адресной поддержки детям из малообеспеченных семей, в ходе подготовки к новому учебному году"</t>
  </si>
  <si>
    <t>Мероприятие "Обеспечение горячим питанием детей из малообеспеченных семей"</t>
  </si>
  <si>
    <t xml:space="preserve">Реализация мероприятий по формированию современной городской среды </t>
  </si>
  <si>
    <t>Расходы на учреждение по обеспечению хозяйственного обслуживания ВМКУ ТХО АМС г.Владикавказа</t>
  </si>
  <si>
    <t>Субвенции бюджетам городских округов на выполнение передаваемых полномочий субъектов Российской Федерации (оздоровительная кампания)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</si>
  <si>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</si>
  <si>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Правобережная администрация (префектура) г.Владикавказа</t>
  </si>
  <si>
    <t>Левобережная администрация (префектура) г.Владикавказа</t>
  </si>
  <si>
    <t>601</t>
  </si>
  <si>
    <t>Комитет молодежной политики, физической культуры и спорта администрации местного самоуправления г.Владикавказа</t>
  </si>
  <si>
    <t>Другие вопросы в области физической культуры и спорта</t>
  </si>
  <si>
    <t>Закупка товаров, работ, услуг для государственных (муниципальных) нужд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</si>
  <si>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</si>
  <si>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</si>
  <si>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</si>
  <si>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</si>
  <si>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</si>
  <si>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</si>
  <si>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</si>
  <si>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</si>
  <si>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</si>
  <si>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</si>
  <si>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</si>
  <si>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</si>
  <si>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</si>
  <si>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</si>
  <si>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</si>
  <si>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</si>
  <si>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</si>
  <si>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</si>
  <si>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</si>
  <si>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</si>
  <si>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</si>
  <si>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>88 0 00 00000</t>
  </si>
  <si>
    <t>88 9 00 00000</t>
  </si>
  <si>
    <t>88 9 00 00110</t>
  </si>
  <si>
    <t>99 0 00 00000</t>
  </si>
  <si>
    <t>99 9 00 00000</t>
  </si>
  <si>
    <t>99 9 00 00110</t>
  </si>
  <si>
    <t>99 9 00 00190</t>
  </si>
  <si>
    <t>01 0 00 00000</t>
  </si>
  <si>
    <t>05 0 00 00000</t>
  </si>
  <si>
    <t>77 0 00 00000</t>
  </si>
  <si>
    <t>77 9 00 00000</t>
  </si>
  <si>
    <t xml:space="preserve">77 9 00 00000 </t>
  </si>
  <si>
    <t>77 9 00 00110</t>
  </si>
  <si>
    <t xml:space="preserve">77 9 00 00110 </t>
  </si>
  <si>
    <t>78 0 00 00000</t>
  </si>
  <si>
    <t>Капитальные вложения в объекты государственной (муниципальной) собственности</t>
  </si>
  <si>
    <t>Мероприятие "Ремонт зданий муниципальной собственности"</t>
  </si>
  <si>
    <t>Мероприятие "Кредиторская задолженность"</t>
  </si>
  <si>
    <t>78 9 00 00110</t>
  </si>
  <si>
    <t>78 9 00 00190</t>
  </si>
  <si>
    <t>99 9 0Р 22740</t>
  </si>
  <si>
    <t>93 0 00 00000</t>
  </si>
  <si>
    <t>93 9 00 00000</t>
  </si>
  <si>
    <t>93 9 00 00110</t>
  </si>
  <si>
    <t>93 9 00 00190</t>
  </si>
  <si>
    <t>03 0 00 00000</t>
  </si>
  <si>
    <t>03 1 00 00000</t>
  </si>
  <si>
    <t>06 0 00 00000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</si>
  <si>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</si>
  <si>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Мероприятие "Озеленение"</t>
  </si>
  <si>
    <t>09 0 00 00000</t>
  </si>
  <si>
    <t>09 2 00 00000</t>
  </si>
  <si>
    <t>Подпрограмма «Ремонт зданий и объектов  муниципальной собственности»</t>
  </si>
  <si>
    <t>09 1 00 00000</t>
  </si>
  <si>
    <t>Мероприятие "Ремонт квартир и домовладений ветеранов и инвалидов"</t>
  </si>
  <si>
    <t>Мероприятие "Разборка аварийных жилых домов"</t>
  </si>
  <si>
    <t>09 3 00 00000</t>
  </si>
  <si>
    <t>Мероприятие "Уличное освещение"</t>
  </si>
  <si>
    <t>Мероприятие "Прочие мероприятия по благоустройству городских округов и поселений"</t>
  </si>
  <si>
    <t>Мероприятие "Руководство и управление в сфере установленных функций органов местного самоуправления"</t>
  </si>
  <si>
    <t>01 2 00 00000</t>
  </si>
  <si>
    <t>Мероприятие "Приобретение вычислительной техники, комплектующих и прочего оборудования"</t>
  </si>
  <si>
    <t>Мероприятие "Приобретение лицензионного программного обеспечения"</t>
  </si>
  <si>
    <t>Мероприятие "Организация мониторинга политических, социально-экономических и иных процессов, оказывающих влияние на ситуацию в области профилактики терроризма"</t>
  </si>
  <si>
    <t>Мероприятие "Обеспечение доступа к сети интернет"</t>
  </si>
  <si>
    <t>04 0 00 00000</t>
  </si>
  <si>
    <t>02 0 00 00000</t>
  </si>
  <si>
    <t>08 0 00 00000</t>
  </si>
  <si>
    <t>08 3 00 00000</t>
  </si>
  <si>
    <t>Мероприятие "Расходы на содержание МКУ "Владлес - Экология"</t>
  </si>
  <si>
    <t>Мероприятие "Содержание учреждений подведомственных УБиО, осуществляющих санитарную очистку г.Владикавказ"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</si>
  <si>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</si>
  <si>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08 2 00 00000</t>
  </si>
  <si>
    <t>Мероприятие "Проведение праздничных мероприятий"</t>
  </si>
  <si>
    <t>Мероприятие "Военно-мемориальная работа"</t>
  </si>
  <si>
    <t>08 3 03 00000</t>
  </si>
  <si>
    <t>08 3 0Р 22000</t>
  </si>
  <si>
    <t>08 3 02 00000</t>
  </si>
  <si>
    <t>Муниципальная программа "Благоустройство и озеленение г.Владикавказа" на 2019-2021 годы"</t>
  </si>
  <si>
    <t>Подпрограмма "Обеспечение деятельности аппарата Управления культуры АМС г.Владикавказа"</t>
  </si>
  <si>
    <t>Мероприятие "Финансирование деятельности аппарата Управления культуры АМС г.Владикавказа"</t>
  </si>
  <si>
    <t>08 4 00 00000</t>
  </si>
  <si>
    <t>08 1 00 00000</t>
  </si>
  <si>
    <t>10 0 00 00000</t>
  </si>
  <si>
    <t>Подпрограмма "Развитие системы общего и дополнительного образования"</t>
  </si>
  <si>
    <t>Мероприятие "Обеспечение деятельности (оказания услуг) муниципальных дошкольных образовательных учреждений"</t>
  </si>
  <si>
    <t>Мероприятие "Обеспечение деятельности (оказания услуг) муниципальных образовательных школ"</t>
  </si>
  <si>
    <t>07 1 0Р 21280</t>
  </si>
  <si>
    <t>Дополнительное образование детей</t>
  </si>
  <si>
    <t>Мероприятие "Обеспечение деятельности (оказания услуг) учреждений дополнительного образования"</t>
  </si>
  <si>
    <t>07 1 04 00000</t>
  </si>
  <si>
    <t>Мероприятие "Развитие материально технической базы муниципальных  образовательных  учреждений"</t>
  </si>
  <si>
    <t>07 1 05 00000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</si>
  <si>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</si>
  <si>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Мероприятие "Обеспечение безопасного пребывания детей в образовательных  учреждениях"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</si>
  <si>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</si>
  <si>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Подпрограмма "Социальная помощь населению: охрана семьи и детства"</t>
  </si>
  <si>
    <t>07 3 0Р 21650</t>
  </si>
  <si>
    <t>07 3 0Р 22270</t>
  </si>
  <si>
    <t>07 4 00 00110</t>
  </si>
  <si>
    <t>07 4 00 00190</t>
  </si>
  <si>
    <t>Мероприятие "Обеспечение деятельности культурно-досуговых учреждений муниципального образования г.Владикавказа"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</si>
  <si>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</si>
  <si>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</si>
  <si>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Муниципальная программа "Профилактика экстремизма и терроризма в городе Владикавказе на 2018-2020 годы"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</si>
  <si>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</si>
  <si>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</si>
  <si>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Управление образования АМС г.Владикавказа</t>
  </si>
  <si>
    <t>Закупка товаров, работ и услуг для государственных (муниципальных) нужд</t>
  </si>
  <si>
    <t>06</t>
  </si>
  <si>
    <t>Расходы на выплаты по оплате труда работников органов местного самоуправления</t>
  </si>
  <si>
    <t>Иные непрограммные расходы</t>
  </si>
  <si>
    <t>Обслуживание государственного (муниципального) долга</t>
  </si>
  <si>
    <t>700</t>
  </si>
  <si>
    <t>Обслуживание муниципального долга</t>
  </si>
  <si>
    <t>Реализация мероприятий государственной программы Российской Федерации "Доступная среда" на 2011-2020 годы" за счет средств республиканского бюджета</t>
  </si>
  <si>
    <t>07 1 0Р L0270</t>
  </si>
  <si>
    <t>10 0 0М L0270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</si>
  <si>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</si>
  <si>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04 </t>
  </si>
  <si>
    <t>Реализация мероприятий государственной программы Российской Федерации "Доступная среда" на 2011-2020 годы"</t>
  </si>
  <si>
    <t>Мероприятия по обеспечению приватизации и проведению предпродажной подготовки объектов приватизации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</si>
  <si>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</si>
  <si>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Глава муниципального образования</t>
  </si>
  <si>
    <t>ОХРАНА ОКРУЖАЮЩЕЙ СРЕДЫ</t>
  </si>
  <si>
    <t>Охрана объектов растительного и животного мира и среды их обитания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</si>
  <si>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</si>
  <si>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</si>
  <si>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 (исполнительно-распорядительного органа муниципального образования)</t>
  </si>
  <si>
    <t xml:space="preserve"> Премии и гранты
</t>
  </si>
  <si>
    <t>350</t>
  </si>
  <si>
    <t>Подпрограмма "Обеспечение создания условий для реализации муниципальной программы "Развитие образования г.Владикавказа на 2018-2021 годы"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</si>
  <si>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</si>
  <si>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долговым обязательствам</t>
  </si>
  <si>
    <t>Резервные фонды</t>
  </si>
  <si>
    <t>Другие общегосударственные вопросы</t>
  </si>
  <si>
    <t>Прочие выплаты по обязательствам государства</t>
  </si>
  <si>
    <t>НАЦИОНАЛЬНАЯ БЕЗОПАСНОСТЬ И ПРАВООХРАНИТЕЛЬНАЯ ДЕЯТЕЛЬНОСТЬ</t>
  </si>
  <si>
    <t>99 9 00 00100</t>
  </si>
  <si>
    <t>99 9 00 00101</t>
  </si>
  <si>
    <t>Занятость школьников в период летних каникул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</si>
  <si>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</si>
  <si>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</si>
  <si>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 xml:space="preserve">Непрограммные расходы на обеспечение функционирования Финансового управления АМС  г.Владикавказ 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</si>
  <si>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</si>
  <si>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99 9 00 00102</t>
  </si>
  <si>
    <t>99 9 00 00103</t>
  </si>
  <si>
    <t>03 4 00 00000</t>
  </si>
  <si>
    <t>03 1 00 00110</t>
  </si>
  <si>
    <t>03 1 00 00190</t>
  </si>
  <si>
    <t>Подпрограмма «Поддержка и развитие городского пассажирского транспорта»</t>
  </si>
  <si>
    <t xml:space="preserve">03 2 00 00000 </t>
  </si>
  <si>
    <t>Мероприятие "Возмещение убытков от финансово-хозяйственной деятельности предприятия, связанных с образовавшейся межтарифной разницей МУП "ВладТрамвай"</t>
  </si>
  <si>
    <t>Подпрограмма «Автомобильные дороги и улично-дорожная сеть (строительство, реконструкция, ремонт и содержание автомобильных дорог) г.Владикавказа»</t>
  </si>
  <si>
    <t>03 3 00 00000</t>
  </si>
  <si>
    <t>Мероприятие "Содержание ВМКУ «Дорожный фонд»</t>
  </si>
  <si>
    <t>Мероприятие "Содержание ВМБУ «Владикавказские дороги»</t>
  </si>
  <si>
    <t>Мероприятие "Восстановительные работы из тротуарной плитки и декоративного камня, ремонт малых архитектурных форм"</t>
  </si>
  <si>
    <t>Мероприятие "Подготовка проектно-сметной документации и эскизов проектов"</t>
  </si>
  <si>
    <t>Мероприятие "Погашение кредиторской задолженности"</t>
  </si>
  <si>
    <t>Мероприятие "Учреждение конкурса главы АМС г.Владикавказа «Одаренные дети»"</t>
  </si>
  <si>
    <t>Мероприятие "Проведение международного фестиваля скрипичной музыки "Подарим миру музыку души"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</si>
  <si>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</si>
  <si>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</si>
  <si>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</si>
  <si>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99 9 00 00135</t>
  </si>
  <si>
    <t>99 9 00 00137</t>
  </si>
  <si>
    <t>Муниципальная целевая программа "Социальная поддержка нуждающегося населения г.Владикавказа на 2019 год и на плановый период 2020 и 2021 г.г."</t>
  </si>
  <si>
    <t>Муниципальная программа «Развитие культуры г.Владикавказа на 2019 год и на плановый период 2020-2021 годы"</t>
  </si>
  <si>
    <t>Муниципальная программа "Городская инвестиционная программа г.Владикавказа на 2019 год и на плановый период 2020-2021 годы"</t>
  </si>
  <si>
    <t xml:space="preserve">Муниципальная программа "Городская инвестиционная программа г.Владикавказа на 2019 год и на плановый период 2020-2021 годы" </t>
  </si>
  <si>
    <t>Муниципальная программа "Информатизация АМС  г.Владикавказа на 2019 год и на плановый период 2020 и 2021 годов"</t>
  </si>
  <si>
    <t>99 9 00 00138</t>
  </si>
  <si>
    <t>Мероприятие по разработке межевых планов территорий</t>
  </si>
  <si>
    <t>99 9 00 00140</t>
  </si>
  <si>
    <t>99 9 00 00141</t>
  </si>
  <si>
    <t>Мероприятие "Устройство, ремонт, покраска металлических ограждений"</t>
  </si>
  <si>
    <t>Мероприятие "Устройство остановочных сооружений"</t>
  </si>
  <si>
    <t>99 9 0Ф 51200</t>
  </si>
  <si>
    <t>Мероприятие "Реконструкция существующего здания художественной школы по пр.Коста, 181"</t>
  </si>
  <si>
    <t>Основное мероприятие "Организация и проведение мероприятий в области молодежной политики"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</si>
  <si>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</si>
  <si>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Мероприятие "Приобретение сувенирной продукции"</t>
  </si>
  <si>
    <t>Мероприятие "Строительство сетей уличного освещения"</t>
  </si>
  <si>
    <t>09 3 01 00199</t>
  </si>
  <si>
    <t>Мероприятие "Чествование, поздравление работников культуры и творческих коллективов. "Ими гордится Владикавказ"-чествование почетных граждан, заслуженных людей г.Владикавказа"</t>
  </si>
  <si>
    <t>Мероприятие «Субсидии юридическим лицам (кроме некоммерческих организаций), индивидуальным предпринимателям, физическим лицам» (возмещение затрат, связанных с содержанием, эксплуатацией и ремонтом сетей уличного освещения)»</t>
  </si>
  <si>
    <t>Софинансирование на обеспечение мероприятий по переселению граждан из аварийного жилищного фонда</t>
  </si>
  <si>
    <t>10 0 0М S9602</t>
  </si>
  <si>
    <t>000 2 02 20299 04 0000 150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</si>
  <si>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</si>
  <si>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</si>
  <si>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</si>
  <si>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10 0 0Ф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</si>
  <si>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</si>
  <si>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10 0 0P 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</si>
  <si>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</si>
  <si>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Общеэкономические вопросы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</si>
  <si>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</si>
  <si>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99 9 0Р 21670</t>
  </si>
  <si>
    <t>Подпрограмма "Гражданское и патриотическое воспитание граждан г.Владикавказа"</t>
  </si>
  <si>
    <t>Подпрограмма  «Обеспечение деятельности муниципальных учреждений культуры» г.Владикавказа»</t>
  </si>
  <si>
    <t>Мероприятие "Развитие системы художественно-эстетического образования в сфере культуры  муниципального образования г.Владикавказа"</t>
  </si>
  <si>
    <t>Мероприятие "Развитие библиотечного дела в  библиотеках муниципального образования г.Владикавказа"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</si>
  <si>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</si>
  <si>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</si>
  <si>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</si>
  <si>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</si>
  <si>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</si>
  <si>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</si>
  <si>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</si>
  <si>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</si>
  <si>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</si>
  <si>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 собственности городских округов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</si>
  <si>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</si>
  <si>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Лесное хозяйство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</si>
  <si>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</si>
  <si>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</si>
  <si>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</si>
  <si>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</si>
  <si>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Поддержка коммунального хозяйства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</si>
  <si>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</si>
  <si>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</si>
  <si>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</si>
  <si>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</si>
  <si>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</si>
  <si>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Молодёжная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</si>
  <si>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</si>
  <si>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</si>
  <si>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</si>
  <si>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</si>
  <si>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Пенсионное обеспечение</t>
  </si>
  <si>
    <t>Контрольно-счетная палата муниципального образования г.Владикавказ (Дзауджикау)</t>
  </si>
  <si>
    <t>647</t>
  </si>
  <si>
    <t>Приложение №3</t>
  </si>
  <si>
    <t xml:space="preserve">Расходы на выплаты по оплате труда работников органов местного самоуправления 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</si>
  <si>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</si>
  <si>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Социальное обеспечение населения</t>
  </si>
  <si>
    <t>Охрана семьи и детства</t>
  </si>
  <si>
    <t>КУЛЬТУРА И КИНЕМАТОГРАФИЯ</t>
  </si>
  <si>
    <t>Дорожное хозяйство (дорожные фонды)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</si>
  <si>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</si>
  <si>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</si>
  <si>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</si>
  <si>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Ежемесячные доплата к государственной пенсии лицам замещавшим муниципальные должности и должности муниципальной службы</t>
  </si>
  <si>
    <t>Ведомство</t>
  </si>
  <si>
    <t>Вид расходов</t>
  </si>
  <si>
    <t>598</t>
  </si>
  <si>
    <t>Другие вопросы в области национальной экономики</t>
  </si>
  <si>
    <t>Муниципальная программа «Поддержка и развитие малого, среднего предпринимательства и инвестиционной деятельности в г.Владикавказе» на 2019- 2021 гг."</t>
  </si>
  <si>
    <t>СОЦИАЛЬНАЯ ПОЛИТИКА</t>
  </si>
  <si>
    <t>599</t>
  </si>
  <si>
    <t>600</t>
  </si>
  <si>
    <t>603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</si>
  <si>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</si>
  <si>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Управление по строительству администрации местного самоуправления г.Владикавказ</t>
  </si>
  <si>
    <t>606</t>
  </si>
  <si>
    <t xml:space="preserve">Управление культуры  администрации местного самоуправления г.Владикавказа </t>
  </si>
  <si>
    <t>730</t>
  </si>
  <si>
    <t>Мероприятие "Приобретение автоматизированной системы управления уличным освещением и светильников с энергосберегающими лампами"</t>
  </si>
  <si>
    <t>Мероприятие "Ремонт муниципальных квартир, объектов"</t>
  </si>
  <si>
    <t>Подпрограмма "Обеспечение безопасности и надежности систем инженерно-технического обеспечения г.Владикавказа"</t>
  </si>
  <si>
    <t>Мероприятие "Обеспечение безопасности и надежности систем инженерно-технического обеспечения г.Владикавказа"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</si>
  <si>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</si>
  <si>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</si>
  <si>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Финансовое управление администрации местного самоуправления г.Владикавказа</t>
  </si>
  <si>
    <t>610</t>
  </si>
  <si>
    <t>611</t>
  </si>
  <si>
    <t>Обслуживание государственного внутреннего и муниципального долга</t>
  </si>
  <si>
    <t>Кредиты кредитных организаций в валюте Российской Федерации</t>
  </si>
  <si>
    <t>810</t>
  </si>
  <si>
    <t>Расходы на обеспечение деятельности (оказания услуг) культурно-досуговых учреждений</t>
  </si>
  <si>
    <t>05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</si>
  <si>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</si>
  <si>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</si>
  <si>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</si>
  <si>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</si>
  <si>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870</t>
  </si>
  <si>
    <t>Предусмотрено по бюджету на 2019 год</t>
  </si>
  <si>
    <t>ВСЕГО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</si>
  <si>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</si>
  <si>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</si>
  <si>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</si>
  <si>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</si>
  <si>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</si>
  <si>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</si>
  <si>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</si>
  <si>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</si>
  <si>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</si>
  <si>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</si>
  <si>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Подпрограмма «Обеспечение деятельности и выполнения функций Комитета ЖКХЭ»</t>
  </si>
  <si>
    <t>Приложение №2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</si>
  <si>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</si>
  <si>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609 </t>
  </si>
  <si>
    <t>Мероприятие "Издание и приобретение книг и иной печатной продукции, визуальной аудио продукции о г.Владикавказе"</t>
  </si>
  <si>
    <t>Судебная система</t>
  </si>
  <si>
    <t>Подпрограмма "Обеспечение создания условий для реализации муниципальной программы "Развитие образования г.Владикавказа на 2017-2020 годы"</t>
  </si>
  <si>
    <t>Непрограммные расходы органов местного самоуправления</t>
  </si>
  <si>
    <t>Подпрограмма «Содержание подведомственных учреждений УТДС АМС г. Владикавказа»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</si>
  <si>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</si>
  <si>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01 4 00 00000</t>
  </si>
  <si>
    <t>Подпрограмма "Цифровизация городского хозяйства в рамках реализации пилотного проекта "Умный город""</t>
  </si>
  <si>
    <t>Мероприятие "Создание системы видеонаблюдения в подведомственных образовательных учреждениях АМС г.Владикавказа"</t>
  </si>
  <si>
    <t>01 4 02 00225</t>
  </si>
  <si>
    <t>Мероприятие "Организация системы видеонаблюдения на территории муниципального образования г.Владикавказа"</t>
  </si>
  <si>
    <t>01 4 03 00226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</si>
  <si>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</si>
  <si>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Обеспечение жильем молодых семей за счет средств местного бюджета</t>
  </si>
  <si>
    <t>Подпрограмма «Образование г.Владикавказа-образование будущего»</t>
  </si>
  <si>
    <t>Код бюджетной классификации Российской Федерации</t>
  </si>
  <si>
    <t>Источники финансирования дефицита</t>
  </si>
  <si>
    <t>тыс. рублей</t>
  </si>
  <si>
    <t>630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</si>
  <si>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</si>
  <si>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</si>
  <si>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</si>
  <si>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Администрация местного самоуправления г.Владикавказа</t>
  </si>
  <si>
    <t>Другие вопросы в области культуры, кинематографии</t>
  </si>
  <si>
    <t>тыс.рублей</t>
  </si>
  <si>
    <t>Расходы на содержание МКУ "Правовое обеспечение"</t>
  </si>
  <si>
    <t>99 9 00 00222</t>
  </si>
  <si>
    <t>03</t>
  </si>
  <si>
    <t>09</t>
  </si>
  <si>
    <t>Расходы на обеспечение деятельности (оказания услуг) муниципальных учреждений</t>
  </si>
  <si>
    <t>Расходы на выплаты персоналу казенных учреждений</t>
  </si>
  <si>
    <t>110</t>
  </si>
  <si>
    <t>08</t>
  </si>
  <si>
    <t>12</t>
  </si>
  <si>
    <t>07</t>
  </si>
  <si>
    <t>02</t>
  </si>
  <si>
    <t>Мероприятие "Ремонт автомобильных дорог"</t>
  </si>
  <si>
    <t>03 3 05 00227</t>
  </si>
  <si>
    <t>Муниципальная программа «Развитие образования г.Владикавказа 
на период 2018-2021 годы"</t>
  </si>
  <si>
    <t>07 1 01 00212</t>
  </si>
  <si>
    <t>07 1 02 00213</t>
  </si>
  <si>
    <t>07 3 03 00000</t>
  </si>
  <si>
    <t>07 3 03 00221</t>
  </si>
  <si>
    <t>07 1 03 00214</t>
  </si>
  <si>
    <t>07 1 04 00215</t>
  </si>
  <si>
    <t>07 1 05 00216</t>
  </si>
  <si>
    <t>07 2 01 00217</t>
  </si>
  <si>
    <t>07 2 02 00218</t>
  </si>
  <si>
    <t>07 2 03 00219</t>
  </si>
  <si>
    <t>07 3 02 00220</t>
  </si>
  <si>
    <t>10 0 15 00175</t>
  </si>
  <si>
    <t>Мероприятие "Ремонт общежития по ул.Бзарова в г.Владикавказе"</t>
  </si>
  <si>
    <t>10 0 16 00176</t>
  </si>
  <si>
    <t>10 0 03 00164</t>
  </si>
  <si>
    <t>10 0 08 00147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</si>
  <si>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</si>
  <si>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10 0 02 00163</t>
  </si>
  <si>
    <t>Мероприятие "Ремонт освещения поселка Спутник"</t>
  </si>
  <si>
    <t>10 0 05 00166</t>
  </si>
  <si>
    <t>Мероприятие "Обследование и подготовка технических заключений для ветхих и аварийных домов, заключение договоров мены у нотариуса, изготовление технических паспортов, разработка проектов"</t>
  </si>
  <si>
    <t xml:space="preserve">Софинансирование на поддержку мероприятий отрасли культуры </t>
  </si>
  <si>
    <t>08 3 0М L5190</t>
  </si>
  <si>
    <t>10 0 22 00230</t>
  </si>
  <si>
    <t>Мероприятие "Ремонт проспекта Мира в г.Владикавказ"</t>
  </si>
  <si>
    <t>Дотации бюджетам городских округов на поддержку мер по обеспечению сбалансированности бюджетов</t>
  </si>
  <si>
    <t>Муниципальная программа "Развитие транспортной инфраструктуры г.Владикавказа на 2017-2020 годы"</t>
  </si>
  <si>
    <t>Финансовое обеспечение дорожной деятельности в рамках реализации национального проекта "Дорожная сеть" (Реконструкция, капитальный ремонт и ремонт автомобильных дорог местного значения (улично-дорожной сети) г.Владикавказа</t>
  </si>
  <si>
    <t>Мероприятие  "Расходы по проектированию, строительству (реконструкции), капитальному и текущему ремонту автомобильных дорог общего пользования местного значения от поступления акцизов"</t>
  </si>
  <si>
    <t>Поощрение за достижение показателей деятельности органов исполнительной власти субъектов Российской Федерации</t>
  </si>
  <si>
    <t>99 9 00 55500</t>
  </si>
  <si>
    <t xml:space="preserve"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на 2019 год </t>
  </si>
  <si>
    <t>% исполнения</t>
  </si>
  <si>
    <t>Уточненный план на 2019 год</t>
  </si>
  <si>
    <t>Кассовое исполнение                   за 2019 год</t>
  </si>
  <si>
    <t>Субсидия на софинансирование расходов на обустройство и восстановление воинских захоронений</t>
  </si>
  <si>
    <t xml:space="preserve"> Кассовое исполнение за 2019 год </t>
  </si>
  <si>
    <t>за 2019 год</t>
  </si>
  <si>
    <t>Доходы</t>
  </si>
  <si>
    <t>по кодам классификации доходов бюджета</t>
  </si>
  <si>
    <t>Наименование показателя</t>
  </si>
  <si>
    <t>Код бюджетной классификации</t>
  </si>
  <si>
    <t>администратора поступлений</t>
  </si>
  <si>
    <t>доходов местного бюджета</t>
  </si>
  <si>
    <t>Федеральная служба по надзору в сфере природопользования</t>
  </si>
  <si>
    <t>048</t>
  </si>
  <si>
    <t>1 12 01000 01 0000 120</t>
  </si>
  <si>
    <t xml:space="preserve">Денежные взыскания (штрафы) за нарушение законодательства Российской Федерации о недрах </t>
  </si>
  <si>
    <t>1 16 25010 01 6000 140</t>
  </si>
  <si>
    <t>Денежные взыскания (штрафы) за наруш. законодательства об особо охраняемых природных территориях</t>
  </si>
  <si>
    <t>1 16 25020 01 6000 140</t>
  </si>
  <si>
    <t>Денежные взыскания (штрафы) за нарушение законодательства в области охраны окружающей среды</t>
  </si>
  <si>
    <t>1 16 25050 01 6000 140</t>
  </si>
  <si>
    <t>1 16 43000 01 6000 140</t>
  </si>
  <si>
    <t>Федеральная служба по надзору в сфере здравоохранения и социального развития</t>
  </si>
  <si>
    <t>060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</si>
  <si>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</si>
  <si>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1 16 90040 04 6000 140</t>
  </si>
  <si>
    <t>Федеральное агенство по рыболовству</t>
  </si>
  <si>
    <t>076</t>
  </si>
  <si>
    <t>Денежные взыскания (штрафы) за нарушение законодательства об охране и использовании животного мира</t>
  </si>
  <si>
    <t>1 16 25030 01 6000 140</t>
  </si>
  <si>
    <t>Федеральная служба по ветеринарному и фитосанитарному надзору</t>
  </si>
  <si>
    <t>081</t>
  </si>
  <si>
    <t>Денежные взыскания (штрафы) за нарушение земельного законодательства</t>
  </si>
  <si>
    <t>1 16 25060 01 6000 140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</si>
  <si>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</si>
  <si>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>Федеральная служба по надзору в сфере связи, информационных технологий  и массовых коммуникаций</t>
  </si>
  <si>
    <t>096</t>
  </si>
  <si>
    <t>Федеральное казначейство по РСО-Алания</t>
  </si>
  <si>
    <t>Доходы от уплаты акцизов на дизельное топливо, 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</si>
  <si>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</si>
  <si>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</si>
  <si>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</si>
  <si>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Федеральная служба по надзору в сфере транспорта</t>
  </si>
  <si>
    <t>106</t>
  </si>
  <si>
    <t>Денежные взыскания (штрафы) за правонарушения в области дорожного движения</t>
  </si>
  <si>
    <t>Федеральная служба по надзору в сфере защиты прав потребителей и благополучия человека</t>
  </si>
  <si>
    <t>141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</si>
  <si>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</si>
  <si>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1 16 08010 01 6000 140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</si>
  <si>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</si>
  <si>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1 16 08020 01 6000 140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</si>
  <si>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</si>
  <si>
    <t>1 16 28000 01 6000 140</t>
  </si>
  <si>
    <t>Северо-Осетинская таможня</t>
  </si>
  <si>
    <t>Управление Федеральной службы по регулированию алкогольного рынка по РСО-Алания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</si>
  <si>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</si>
  <si>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Федеральная антимонопольная служба по РСО-Алания</t>
  </si>
  <si>
    <t>161</t>
  </si>
  <si>
    <t>Денежные взыскания (штрафы) за нарушение законодательства РФ о размещении заказов на поставки товаров, выполнение работ, оказание услуг для нужд городского округа</t>
  </si>
  <si>
    <t>1 16 33040 04 6000 140</t>
  </si>
  <si>
    <t xml:space="preserve">Денежные взыскания (штрафы) за нарушение законодательства РФ об электроэнергетике </t>
  </si>
  <si>
    <t>1 16 41000 01 6000 140</t>
  </si>
  <si>
    <t>Управление Федеральной службы войск национальной гвардии по Республике Северная Осетия-Алания</t>
  </si>
  <si>
    <t>Федеральная налоговая служба по РСО-Алания</t>
  </si>
  <si>
    <t>182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</si>
  <si>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</si>
  <si>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1 01 02010 01 1000 110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</si>
  <si>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</si>
  <si>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1 01 02020 01 1000 110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</si>
  <si>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</si>
  <si>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1 01 02030 01 1000 110</t>
  </si>
  <si>
    <t>Налог, взимаемый с налогоплательщиков, выбравших в качестве объекта налогообложения  доходы</t>
  </si>
  <si>
    <t>1 05 01011 01 1000 110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</si>
  <si>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</si>
  <si>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1 05 01012 01 1000 110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</si>
  <si>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</si>
  <si>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</si>
  <si>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</si>
  <si>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1 05 01022 01 1000 110</t>
  </si>
  <si>
    <t>1 05 02010 02 1000 110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</si>
  <si>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</si>
  <si>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1 05 02020 02 1000 110</t>
  </si>
  <si>
    <t>1 05 03010 01 1000 110</t>
  </si>
  <si>
    <t>Единый сельскохозяйственный налог(за налоговые периоды, истекшие до 1 января 2011 года)</t>
  </si>
  <si>
    <t>1 05 03020 01 1000 110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</si>
  <si>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</si>
  <si>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1 05 04010 02 1000 110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</si>
  <si>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</si>
  <si>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1 06 01020 04 1000 110</t>
  </si>
  <si>
    <t>Налог на имущество организаций по имуществу, не входящему в Единую систему газоснабжения</t>
  </si>
  <si>
    <t>1 06 02010 02 1000 110</t>
  </si>
  <si>
    <t>Налог на имущество организаций по имуществу,  входящему в Единую систему газоснабжения</t>
  </si>
  <si>
    <t>1 06 02020 02 1000 110</t>
  </si>
  <si>
    <t xml:space="preserve">Земельный налог с организаций, обладающих земельным участком, расположенным в границах городских округов </t>
  </si>
  <si>
    <t>1 06 06032 04 1000 110</t>
  </si>
  <si>
    <t>Земельный налог с физических лиц, обладающих земельным участком, расположенным в границах городских округов</t>
  </si>
  <si>
    <t>1 06 06042 04 1000 110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</si>
  <si>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</si>
  <si>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1 08 03010 01 1000 110</t>
  </si>
  <si>
    <t>Денежные взыскания (штрафы) за нарушение законодательства о налогах и сборах, предусмотренные статьями 116, 118, 119,119.1,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</si>
  <si>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1 16 03010 01 6000 140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</si>
  <si>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или расчетов с использованием платежных карт</t>
  </si>
  <si>
    <t>1 16 06000 01 6000 140</t>
  </si>
  <si>
    <t xml:space="preserve">Министерство внутренних дел по РСО-Алания </t>
  </si>
  <si>
    <t>188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</si>
  <si>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</si>
  <si>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1 16 21040 01 6000 140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</si>
  <si>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</si>
  <si>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Прочие денежные взыскания (штрафы) за правонарушения в области дорожного движения </t>
  </si>
  <si>
    <t>1 16 30030 01 6000 140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</si>
  <si>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</si>
  <si>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Министерство юстиции по РСО-Алания</t>
  </si>
  <si>
    <t>1 16 90040 04 0000 140</t>
  </si>
  <si>
    <t>Федеральная служба государственной регистрации, кадастра и картографии по РСО-Алания</t>
  </si>
  <si>
    <t>321</t>
  </si>
  <si>
    <t>Федеральная служба по экологическому, технологическому и атомному надзору по РСО-Алания</t>
  </si>
  <si>
    <t>498</t>
  </si>
  <si>
    <t xml:space="preserve">Денежные взыскания (штрафы) за нарушение законодательства Российской Федерации об электроэнергетике </t>
  </si>
  <si>
    <t>Денежные взыскания (штрафы) за нарушения законодательства Российской Федерации о промышленной безопасности</t>
  </si>
  <si>
    <t>1 16 45000 01 6000 140</t>
  </si>
  <si>
    <t>Государственная пошлина за выдачу разрешения на установку рекламной конструкции</t>
  </si>
  <si>
    <t>1 08 07150 01 1000 110</t>
  </si>
  <si>
    <t>1 11 09044 04 0000 120</t>
  </si>
  <si>
    <t xml:space="preserve">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</si>
  <si>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>1 16 32000 04 0000 140</t>
  </si>
  <si>
    <t>1 16 90040 04 0100 140</t>
  </si>
  <si>
    <t>Невыясненные поступления, зачисляемые в бюджеты городских округов</t>
  </si>
  <si>
    <t>1 17 01040 04 0000 180</t>
  </si>
  <si>
    <t>Прочие неналоговые доходы бюджетов городских округов</t>
  </si>
  <si>
    <t xml:space="preserve"> 1 17 05040 04 0000 180</t>
  </si>
  <si>
    <t>Комитет жилищно-коммунального хозяйства и энергетики администрации местного самоуправления г.Владикавказ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</si>
  <si>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</si>
  <si>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Финансовое управления АМС г.Владикавказа</t>
  </si>
  <si>
    <t>Прочие доходы от компенсации затрат бюджетов городских округов</t>
  </si>
  <si>
    <t xml:space="preserve"> 1 13 02994 04 0000 130</t>
  </si>
  <si>
    <t>1 17 05040 04 0000 180</t>
  </si>
  <si>
    <t>Дотации бюджетам городских округов на выравнивание бюджетной обеспеченности (выравнивание бюджетной обеспеченности муниципальных районов (городских округов) из республиканского фонда финансовой поддержки муниципальных районов (городских округов)</t>
  </si>
  <si>
    <t>2 02 15001 04 0001 151</t>
  </si>
  <si>
    <t>Дотации бюджетам городских округов на выравнивание бюджетной обеспеченности (выравнивание бюджетной обеспеченности поселений из республиканского фонда финансовой поддержки поселений)</t>
  </si>
  <si>
    <t>2 02 15001 04 0002 151</t>
  </si>
  <si>
    <t>2 02 15002 04 0000 151</t>
  </si>
  <si>
    <t>2 02 20216 04 0000 151</t>
  </si>
  <si>
    <t>Субсидии бюджетам городских округов на реализацию мероприятий государственной программы РФ "Доступная среда"на 2011-2020 годы"</t>
  </si>
  <si>
    <t>2 02 25027 04 0000 151</t>
  </si>
  <si>
    <t xml:space="preserve">  Субсидии бюджетам городских округов на реализацию мероприятий по обеспечению жильем молодых семей</t>
  </si>
  <si>
    <t>2 02 25497 04 0000 151</t>
  </si>
  <si>
    <t>Субсидии бюджетам городских округов на поддержку отрасли культуры</t>
  </si>
  <si>
    <t>2 02 25519 04 0000 151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</si>
  <si>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</si>
  <si>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2 02 25555 04 0000 151</t>
  </si>
  <si>
    <t>Субвенции бюджетам городских округов на выполнение передаваемых полномочий субъектов Российской Федерации (получение общедоступного  и бесплатного дошкольного образования в муниципальных дошкольных образовательных организациях)</t>
  </si>
  <si>
    <t xml:space="preserve">2 02 30024 04 0062 151          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</si>
  <si>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учреждениях)</t>
  </si>
  <si>
    <t xml:space="preserve">2 02 30024 04 0063 151          </t>
  </si>
  <si>
    <t>2 02 30024 04 0065 151</t>
  </si>
  <si>
    <t xml:space="preserve">2 02 30024 04 0067 151                 </t>
  </si>
  <si>
    <t xml:space="preserve">2 02 30024 04 0075 151 </t>
  </si>
  <si>
    <t>Субвенции бюджетам городских округов на 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</si>
  <si>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2 02 30029 04 0064 151</t>
  </si>
  <si>
    <t>Прочие межбюджетные трансферты, передаваемые бюджетам городских округов</t>
  </si>
  <si>
    <t xml:space="preserve"> 2 02 04999 04 0066 151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</si>
  <si>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</si>
  <si>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2 19 60010 04 0000 151</t>
  </si>
  <si>
    <t>Управление муниципальным имуществом, земельными ресурсами, архитектуры и градостроительства АМС г. Владикавказа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</si>
  <si>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</si>
  <si>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</si>
  <si>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</si>
  <si>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1 11 05034 04 0000 120</t>
  </si>
  <si>
    <t xml:space="preserve"> 1 11 07014 04 0000 120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</si>
  <si>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</si>
  <si>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</si>
  <si>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1 14 06012 04 0000 430</t>
  </si>
  <si>
    <t>Управление Республики Северная Осетия-Алания по  лицензированию и осуществлению лицензионного контроля розничной продажи алкогольной продукции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</si>
  <si>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</si>
  <si>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 xml:space="preserve"> 1 08 07082 01 1001 110</t>
  </si>
  <si>
    <t>Министерство природных ресурсов и  экологии Республики Северная Осетия-Алания</t>
  </si>
  <si>
    <t>813</t>
  </si>
  <si>
    <t>Денежные взыскания (штрафы) за нарушение законодательства Российской Федерации о недрах</t>
  </si>
  <si>
    <t>1 16 25010 01 0000 140</t>
  </si>
  <si>
    <t xml:space="preserve"> 1 16 25050 01 0000 140</t>
  </si>
  <si>
    <t>Служба государственного жилищного надзора Республики Северная Осетия-Алания при Правительстве Республики Северная Осетия-Алания</t>
  </si>
  <si>
    <t xml:space="preserve">бюджета муниципального образования г.Владикавказ за 2019 год </t>
  </si>
  <si>
    <t>Приложение №4</t>
  </si>
  <si>
    <t>бюджета муниципального образования г.Владикавказ по кодам классификации источников финансирования дефицитов бюджетов</t>
  </si>
  <si>
    <t>Администратор источников</t>
  </si>
  <si>
    <t>УМИЗРАГ</t>
  </si>
  <si>
    <t>08 2 0Ф L2990</t>
  </si>
  <si>
    <t>1 03 02231 01 0000 110</t>
  </si>
  <si>
    <t>1 03 02241 01 0000 110</t>
  </si>
  <si>
    <t>1 03 02251 01 0000 110</t>
  </si>
  <si>
    <t>1 03 02261 01 0000 110</t>
  </si>
  <si>
    <t>Управление Федеральная службы государственной статистики</t>
  </si>
  <si>
    <t>157</t>
  </si>
  <si>
    <t xml:space="preserve"> 2 02 45393 04 0000 150</t>
  </si>
  <si>
    <t>Межбюджетные трансферты, передаваемые бюджетам городских округов за достижение показателей деятельности органов исполнительной власти субъектов Российской Федерации</t>
  </si>
  <si>
    <t xml:space="preserve"> 2 02 45550 04 0000 150</t>
  </si>
  <si>
    <t>к  решению Собрания представителей</t>
  </si>
  <si>
    <t>г.Владикавказ от 26 июня 2020 года №11/21</t>
  </si>
  <si>
    <t>к решению Собрания представителей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</si>
</sst>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_-* #,##0.0_р_._-;\-* #,##0.0_р_._-;_-* &quot;-&quot;?_р_._-;_-@_-"/>
    <numFmt numFmtId="169" formatCode="_-* #,##0.0\ _₽_-;\-* #,##0.0\ _₽_-;_-* &quot;-&quot;?\ _₽_-;_-@_-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Arial Cyr"/>
      <family val="2"/>
    </font>
    <font>
      <sz val="8"/>
      <color rgb="FF000000"/>
      <name val="Arial Cy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25" fillId="2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7" borderId="0" applyNumberFormat="0" applyBorder="0" applyAlignment="0" applyProtection="0"/>
    <xf numFmtId="0" fontId="25" fillId="3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8" borderId="0" applyNumberFormat="0" applyBorder="0" applyAlignment="0" applyProtection="0"/>
    <xf numFmtId="0" fontId="25" fillId="10" borderId="0" applyNumberFormat="0" applyBorder="0" applyAlignment="0" applyProtection="0"/>
    <xf numFmtId="0" fontId="26" fillId="8" borderId="0" applyNumberFormat="0" applyBorder="0" applyAlignment="0" applyProtection="0"/>
    <xf numFmtId="0" fontId="26" fillId="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7" fillId="0" borderId="1">
      <alignment horizontal="left" wrapText="1" indent="2"/>
    </xf>
    <xf numFmtId="49" fontId="28" fillId="0" borderId="4">
      <alignment horizontal="center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7">
    <xf numFmtId="0" fontId="0" fillId="0" borderId="0" xfId="0"/>
    <xf numFmtId="0" fontId="4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2" xfId="0" applyFont="1" applyBorder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66" fontId="1" fillId="0" borderId="0" xfId="23" applyNumberFormat="1"/>
    <xf numFmtId="49" fontId="5" fillId="1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166" fontId="4" fillId="0" borderId="0" xfId="23" applyNumberFormat="1" applyFont="1"/>
    <xf numFmtId="49" fontId="6" fillId="13" borderId="2" xfId="0" applyNumberFormat="1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vertical="top" wrapText="1"/>
    </xf>
    <xf numFmtId="0" fontId="8" fillId="0" borderId="2" xfId="0" applyFont="1" applyBorder="1" applyAlignment="1">
      <alignment horizontal="justify" vertical="top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0" fillId="0" borderId="0" xfId="0" applyFill="1"/>
    <xf numFmtId="49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168" fontId="14" fillId="0" borderId="2" xfId="23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top" wrapText="1"/>
    </xf>
    <xf numFmtId="0" fontId="9" fillId="0" borderId="2" xfId="0" applyFont="1" applyFill="1" applyBorder="1" applyAlignment="1">
      <alignment horizontal="center" vertical="center" wrapText="1"/>
    </xf>
    <xf numFmtId="167" fontId="9" fillId="0" borderId="2" xfId="23" applyNumberFormat="1" applyFont="1" applyFill="1" applyBorder="1" applyAlignment="1">
      <alignment horizontal="right" vertical="center" wrapText="1"/>
    </xf>
    <xf numFmtId="167" fontId="14" fillId="0" borderId="2" xfId="23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167" fontId="15" fillId="0" borderId="2" xfId="23" applyNumberFormat="1" applyFont="1" applyFill="1" applyBorder="1" applyAlignment="1">
      <alignment horizontal="righ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0" borderId="0" xfId="0" applyFont="1" applyFill="1"/>
    <xf numFmtId="0" fontId="12" fillId="0" borderId="0" xfId="0" applyFont="1" applyFill="1"/>
    <xf numFmtId="0" fontId="13" fillId="0" borderId="0" xfId="0" applyFont="1" applyFill="1"/>
    <xf numFmtId="49" fontId="9" fillId="0" borderId="2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67" fontId="18" fillId="0" borderId="2" xfId="23" applyNumberFormat="1" applyFont="1" applyFill="1" applyBorder="1" applyAlignment="1">
      <alignment horizontal="right" vertical="center" wrapText="1"/>
    </xf>
    <xf numFmtId="0" fontId="18" fillId="0" borderId="2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vertical="top" wrapText="1"/>
    </xf>
    <xf numFmtId="0" fontId="15" fillId="0" borderId="2" xfId="0" applyNumberFormat="1" applyFont="1" applyFill="1" applyBorder="1" applyAlignment="1">
      <alignment vertical="top" wrapText="1"/>
    </xf>
    <xf numFmtId="0" fontId="9" fillId="0" borderId="2" xfId="0" applyNumberFormat="1" applyFont="1" applyFill="1" applyBorder="1" applyAlignment="1">
      <alignment vertical="top" wrapText="1"/>
    </xf>
    <xf numFmtId="0" fontId="16" fillId="0" borderId="2" xfId="0" applyNumberFormat="1" applyFont="1" applyFill="1" applyBorder="1" applyAlignment="1">
      <alignment vertical="top" wrapText="1"/>
    </xf>
    <xf numFmtId="166" fontId="14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14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166" fontId="19" fillId="0" borderId="2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vertical="top" wrapText="1"/>
    </xf>
    <xf numFmtId="49" fontId="19" fillId="0" borderId="2" xfId="0" applyNumberFormat="1" applyFont="1" applyFill="1" applyBorder="1" applyAlignment="1">
      <alignment vertical="top" wrapText="1"/>
    </xf>
    <xf numFmtId="49" fontId="15" fillId="0" borderId="2" xfId="0" applyNumberFormat="1" applyFont="1" applyFill="1" applyBorder="1" applyAlignment="1">
      <alignment vertical="top" wrapText="1"/>
    </xf>
    <xf numFmtId="49" fontId="9" fillId="0" borderId="2" xfId="0" applyNumberFormat="1" applyFont="1" applyFill="1" applyBorder="1" applyAlignment="1">
      <alignment vertical="top" wrapText="1"/>
    </xf>
    <xf numFmtId="49" fontId="16" fillId="0" borderId="2" xfId="0" applyNumberFormat="1" applyFont="1" applyFill="1" applyBorder="1" applyAlignment="1">
      <alignment vertical="top" wrapText="1"/>
    </xf>
    <xf numFmtId="49" fontId="18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vertical="top" wrapText="1"/>
    </xf>
    <xf numFmtId="166" fontId="14" fillId="0" borderId="2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2" fontId="9" fillId="0" borderId="2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vertical="top" wrapText="1"/>
    </xf>
    <xf numFmtId="167" fontId="6" fillId="0" borderId="2" xfId="23" applyNumberFormat="1" applyFont="1" applyFill="1" applyBorder="1" applyAlignment="1">
      <alignment horizontal="right" vertical="center" wrapText="1"/>
    </xf>
    <xf numFmtId="167" fontId="5" fillId="13" borderId="2" xfId="23" applyNumberFormat="1" applyFont="1" applyFill="1" applyBorder="1" applyAlignment="1">
      <alignment horizontal="right" vertical="center" wrapText="1"/>
    </xf>
    <xf numFmtId="167" fontId="16" fillId="0" borderId="2" xfId="23" applyNumberFormat="1" applyFont="1" applyFill="1" applyBorder="1" applyAlignment="1">
      <alignment horizontal="right" vertical="center" wrapText="1"/>
    </xf>
    <xf numFmtId="167" fontId="10" fillId="0" borderId="2" xfId="23" applyNumberFormat="1" applyFont="1" applyFill="1" applyBorder="1" applyAlignment="1">
      <alignment horizontal="right" vertical="center" wrapText="1"/>
    </xf>
    <xf numFmtId="167" fontId="9" fillId="0" borderId="2" xfId="23" applyNumberFormat="1" applyFont="1" applyFill="1" applyBorder="1" applyAlignment="1">
      <alignment horizontal="right" vertical="top" wrapText="1"/>
    </xf>
    <xf numFmtId="0" fontId="16" fillId="0" borderId="2" xfId="0" applyFont="1" applyFill="1" applyBorder="1" applyAlignment="1">
      <alignment vertical="top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166" fontId="8" fillId="0" borderId="0" xfId="23" applyNumberFormat="1" applyFont="1" applyFill="1" applyBorder="1" applyAlignment="1">
      <alignment horizontal="center" vertical="center"/>
    </xf>
    <xf numFmtId="168" fontId="18" fillId="0" borderId="2" xfId="23" applyNumberFormat="1" applyFont="1" applyFill="1" applyBorder="1" applyAlignment="1">
      <alignment horizontal="right" vertical="center" wrapText="1"/>
    </xf>
    <xf numFmtId="168" fontId="9" fillId="0" borderId="2" xfId="23" applyNumberFormat="1" applyFont="1" applyFill="1" applyBorder="1" applyAlignment="1">
      <alignment horizontal="right" vertical="center" wrapText="1"/>
    </xf>
    <xf numFmtId="166" fontId="14" fillId="0" borderId="2" xfId="23" applyNumberFormat="1" applyFont="1" applyFill="1" applyBorder="1" applyAlignment="1">
      <alignment horizontal="right" vertical="center" wrapText="1"/>
    </xf>
    <xf numFmtId="166" fontId="9" fillId="0" borderId="2" xfId="23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center" wrapText="1"/>
    </xf>
    <xf numFmtId="166" fontId="18" fillId="0" borderId="2" xfId="23" applyNumberFormat="1" applyFont="1" applyFill="1" applyBorder="1" applyAlignment="1">
      <alignment horizontal="right" vertical="center" wrapText="1"/>
    </xf>
    <xf numFmtId="166" fontId="15" fillId="0" borderId="2" xfId="23" applyNumberFormat="1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NumberFormat="1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167" fontId="9" fillId="0" borderId="0" xfId="23" applyNumberFormat="1" applyFont="1" applyFill="1" applyBorder="1" applyAlignment="1">
      <alignment horizontal="right" vertical="center" wrapText="1"/>
    </xf>
    <xf numFmtId="166" fontId="8" fillId="0" borderId="2" xfId="23" applyNumberFormat="1" applyFont="1" applyBorder="1" applyAlignment="1">
      <alignment horizontal="right" vertical="center" wrapText="1"/>
    </xf>
    <xf numFmtId="166" fontId="5" fillId="13" borderId="2" xfId="23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top" wrapText="1"/>
    </xf>
    <xf numFmtId="166" fontId="5" fillId="0" borderId="2" xfId="23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vertical="center" wrapText="1"/>
    </xf>
    <xf numFmtId="166" fontId="8" fillId="0" borderId="2" xfId="23" applyNumberFormat="1" applyFont="1" applyFill="1" applyBorder="1" applyAlignment="1">
      <alignment horizontal="right" vertical="center" wrapText="1"/>
    </xf>
    <xf numFmtId="167" fontId="14" fillId="0" borderId="2" xfId="23" applyNumberFormat="1" applyFont="1" applyFill="1" applyBorder="1" applyAlignment="1">
      <alignment vertical="center" wrapText="1"/>
    </xf>
    <xf numFmtId="167" fontId="9" fillId="0" borderId="2" xfId="23" applyNumberFormat="1" applyFont="1" applyFill="1" applyBorder="1" applyAlignment="1">
      <alignment vertical="center" wrapText="1"/>
    </xf>
    <xf numFmtId="0" fontId="18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wrapText="1"/>
    </xf>
    <xf numFmtId="166" fontId="5" fillId="13" borderId="2" xfId="0" applyNumberFormat="1" applyFont="1" applyFill="1" applyBorder="1" applyAlignment="1">
      <alignment vertical="top" wrapText="1"/>
    </xf>
    <xf numFmtId="0" fontId="24" fillId="0" borderId="0" xfId="0" applyFont="1" applyFill="1"/>
    <xf numFmtId="0" fontId="3" fillId="0" borderId="0" xfId="0" applyFont="1" applyFill="1" applyAlignment="1">
      <alignment wrapText="1"/>
    </xf>
    <xf numFmtId="0" fontId="23" fillId="0" borderId="0" xfId="0" applyFont="1" applyFill="1"/>
    <xf numFmtId="49" fontId="14" fillId="15" borderId="2" xfId="0" applyNumberFormat="1" applyFont="1" applyFill="1" applyBorder="1" applyAlignment="1">
      <alignment vertical="top" wrapText="1"/>
    </xf>
    <xf numFmtId="49" fontId="14" fillId="15" borderId="2" xfId="0" applyNumberFormat="1" applyFont="1" applyFill="1" applyBorder="1" applyAlignment="1">
      <alignment horizontal="center" vertical="center" wrapText="1"/>
    </xf>
    <xf numFmtId="166" fontId="14" fillId="15" borderId="2" xfId="23" applyNumberFormat="1" applyFont="1" applyFill="1" applyBorder="1" applyAlignment="1">
      <alignment horizontal="right" vertical="center" wrapText="1"/>
    </xf>
    <xf numFmtId="49" fontId="9" fillId="15" borderId="2" xfId="0" applyNumberFormat="1" applyFont="1" applyFill="1" applyBorder="1" applyAlignment="1">
      <alignment vertical="top" wrapText="1"/>
    </xf>
    <xf numFmtId="49" fontId="9" fillId="15" borderId="2" xfId="0" applyNumberFormat="1" applyFont="1" applyFill="1" applyBorder="1" applyAlignment="1">
      <alignment horizontal="center" vertical="center" wrapText="1"/>
    </xf>
    <xf numFmtId="166" fontId="9" fillId="15" borderId="2" xfId="23" applyNumberFormat="1" applyFont="1" applyFill="1" applyBorder="1" applyAlignment="1">
      <alignment horizontal="right" vertical="center" wrapText="1"/>
    </xf>
    <xf numFmtId="167" fontId="14" fillId="15" borderId="2" xfId="2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168" fontId="14" fillId="0" borderId="2" xfId="0" applyNumberFormat="1" applyFont="1" applyBorder="1" applyAlignment="1">
      <alignment horizontal="center" vertical="center" wrapText="1"/>
    </xf>
    <xf numFmtId="167" fontId="0" fillId="0" borderId="0" xfId="0" applyNumberFormat="1" applyFill="1"/>
    <xf numFmtId="169" fontId="9" fillId="0" borderId="2" xfId="23" applyNumberFormat="1" applyFont="1" applyFill="1" applyBorder="1" applyAlignment="1">
      <alignment horizontal="right" vertical="center" wrapText="1"/>
    </xf>
    <xf numFmtId="169" fontId="9" fillId="0" borderId="2" xfId="23" applyNumberFormat="1" applyFont="1" applyFill="1" applyBorder="1" applyAlignment="1">
      <alignment horizontal="right" vertical="top" wrapText="1"/>
    </xf>
    <xf numFmtId="169" fontId="14" fillId="0" borderId="2" xfId="23" applyNumberFormat="1" applyFont="1" applyFill="1" applyBorder="1" applyAlignment="1">
      <alignment horizontal="right" vertical="center" wrapText="1"/>
    </xf>
    <xf numFmtId="169" fontId="15" fillId="0" borderId="2" xfId="23" applyNumberFormat="1" applyFont="1" applyFill="1" applyBorder="1" applyAlignment="1">
      <alignment horizontal="right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9" fillId="0" borderId="2" xfId="0" applyFont="1" applyFill="1" applyBorder="1"/>
    <xf numFmtId="167" fontId="9" fillId="0" borderId="2" xfId="0" applyNumberFormat="1" applyFont="1" applyFill="1" applyBorder="1"/>
    <xf numFmtId="167" fontId="6" fillId="0" borderId="2" xfId="0" applyNumberFormat="1" applyFont="1" applyFill="1" applyBorder="1" applyAlignment="1">
      <alignment horizontal="right" vertical="center"/>
    </xf>
    <xf numFmtId="167" fontId="18" fillId="0" borderId="2" xfId="0" applyNumberFormat="1" applyFont="1" applyFill="1" applyBorder="1" applyAlignment="1">
      <alignment horizontal="right" vertical="center"/>
    </xf>
    <xf numFmtId="167" fontId="6" fillId="0" borderId="2" xfId="0" applyNumberFormat="1" applyFont="1" applyFill="1" applyBorder="1" applyAlignment="1">
      <alignment vertical="center"/>
    </xf>
    <xf numFmtId="167" fontId="18" fillId="0" borderId="2" xfId="0" applyNumberFormat="1" applyFont="1" applyFill="1" applyBorder="1" applyAlignment="1">
      <alignment vertical="center"/>
    </xf>
    <xf numFmtId="167" fontId="5" fillId="16" borderId="2" xfId="0" applyNumberFormat="1" applyFont="1" applyFill="1" applyBorder="1"/>
    <xf numFmtId="167" fontId="5" fillId="16" borderId="2" xfId="23" applyNumberFormat="1" applyFont="1" applyFill="1" applyBorder="1" applyAlignment="1">
      <alignment horizontal="right" vertical="center" wrapText="1"/>
    </xf>
    <xf numFmtId="49" fontId="5" fillId="16" borderId="2" xfId="0" applyNumberFormat="1" applyFont="1" applyFill="1" applyBorder="1" applyAlignment="1">
      <alignment horizontal="center" vertical="center" wrapText="1"/>
    </xf>
    <xf numFmtId="0" fontId="5" fillId="16" borderId="2" xfId="0" applyFont="1" applyFill="1" applyBorder="1" applyAlignment="1">
      <alignment vertical="center" wrapText="1"/>
    </xf>
    <xf numFmtId="167" fontId="14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29" fillId="0" borderId="0" xfId="0" applyFont="1" applyFill="1" applyAlignment="1">
      <alignment wrapText="1"/>
    </xf>
    <xf numFmtId="49" fontId="29" fillId="0" borderId="0" xfId="0" applyNumberFormat="1" applyFont="1" applyFill="1" applyAlignment="1">
      <alignment horizontal="center" wrapText="1"/>
    </xf>
    <xf numFmtId="49" fontId="29" fillId="0" borderId="0" xfId="0" applyNumberFormat="1" applyFont="1" applyFill="1" applyAlignment="1">
      <alignment horizontal="center" vertical="center" wrapText="1"/>
    </xf>
    <xf numFmtId="0" fontId="29" fillId="0" borderId="0" xfId="0" applyNumberFormat="1" applyFont="1" applyFill="1" applyAlignment="1">
      <alignment horizontal="center" vertical="center" wrapText="1"/>
    </xf>
    <xf numFmtId="0" fontId="30" fillId="0" borderId="0" xfId="0" applyFont="1" applyAlignment="1">
      <alignment wrapText="1"/>
    </xf>
    <xf numFmtId="49" fontId="30" fillId="0" borderId="0" xfId="0" applyNumberFormat="1" applyFont="1" applyAlignment="1">
      <alignment horizontal="center" wrapText="1"/>
    </xf>
    <xf numFmtId="49" fontId="30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49" fontId="8" fillId="17" borderId="2" xfId="0" applyNumberFormat="1" applyFont="1" applyFill="1" applyBorder="1" applyAlignment="1">
      <alignment horizontal="center" vertical="center" wrapText="1"/>
    </xf>
    <xf numFmtId="0" fontId="8" fillId="14" borderId="2" xfId="0" applyFont="1" applyFill="1" applyBorder="1" applyAlignment="1">
      <alignment vertical="top" wrapText="1"/>
    </xf>
    <xf numFmtId="0" fontId="8" fillId="14" borderId="2" xfId="0" applyFont="1" applyFill="1" applyBorder="1" applyAlignment="1">
      <alignment horizontal="center" vertical="center" wrapText="1"/>
    </xf>
    <xf numFmtId="166" fontId="8" fillId="14" borderId="2" xfId="23" applyNumberFormat="1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horizontal="center" vertical="center" shrinkToFit="1"/>
    </xf>
    <xf numFmtId="166" fontId="8" fillId="0" borderId="2" xfId="23" applyNumberFormat="1" applyFont="1" applyFill="1" applyBorder="1" applyAlignment="1">
      <alignment horizontal="right" vertical="center" wrapText="1" shrinkToFi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2" xfId="0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vertical="center" wrapText="1"/>
    </xf>
    <xf numFmtId="0" fontId="31" fillId="13" borderId="2" xfId="0" applyFont="1" applyFill="1" applyBorder="1" applyAlignment="1">
      <alignment vertical="top" wrapText="1"/>
    </xf>
    <xf numFmtId="49" fontId="8" fillId="13" borderId="2" xfId="0" applyNumberFormat="1" applyFont="1" applyFill="1" applyBorder="1" applyAlignment="1">
      <alignment horizontal="center" vertical="center" wrapText="1"/>
    </xf>
    <xf numFmtId="0" fontId="8" fillId="17" borderId="2" xfId="0" applyFont="1" applyFill="1" applyBorder="1" applyAlignment="1">
      <alignment horizontal="center" vertical="center" wrapText="1"/>
    </xf>
    <xf numFmtId="0" fontId="8" fillId="17" borderId="2" xfId="0" applyFont="1" applyFill="1" applyBorder="1" applyAlignment="1">
      <alignment vertical="top" wrapText="1"/>
    </xf>
    <xf numFmtId="0" fontId="5" fillId="13" borderId="2" xfId="0" applyNumberFormat="1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0" fontId="32" fillId="0" borderId="2" xfId="0" applyFont="1" applyFill="1" applyBorder="1" applyAlignment="1">
      <alignment horizontal="left" vertical="center" wrapText="1"/>
    </xf>
    <xf numFmtId="49" fontId="8" fillId="14" borderId="2" xfId="0" applyNumberFormat="1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left" vertical="center" wrapText="1" indent="1"/>
    </xf>
    <xf numFmtId="167" fontId="5" fillId="13" borderId="2" xfId="0" applyNumberFormat="1" applyFont="1" applyFill="1" applyBorder="1" applyAlignment="1">
      <alignment horizontal="right" vertical="center" wrapText="1"/>
    </xf>
    <xf numFmtId="0" fontId="8" fillId="14" borderId="2" xfId="0" applyFont="1" applyFill="1" applyBorder="1" applyAlignment="1">
      <alignment vertical="center" wrapText="1"/>
    </xf>
    <xf numFmtId="49" fontId="5" fillId="13" borderId="2" xfId="0" applyNumberFormat="1" applyFont="1" applyFill="1" applyBorder="1" applyAlignment="1">
      <alignment horizontal="center" vertical="center" shrinkToFit="1"/>
    </xf>
    <xf numFmtId="166" fontId="5" fillId="13" borderId="2" xfId="23" applyNumberFormat="1" applyFont="1" applyFill="1" applyBorder="1" applyAlignment="1">
      <alignment horizontal="right" vertical="center" wrapText="1" shrinkToFit="1"/>
    </xf>
    <xf numFmtId="0" fontId="5" fillId="13" borderId="2" xfId="0" applyFont="1" applyFill="1" applyBorder="1" applyAlignment="1">
      <alignment wrapText="1"/>
    </xf>
    <xf numFmtId="49" fontId="5" fillId="13" borderId="2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33" fillId="0" borderId="0" xfId="0" applyFont="1"/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166" fontId="5" fillId="0" borderId="2" xfId="23" applyNumberFormat="1" applyFont="1" applyBorder="1" applyAlignment="1">
      <alignment horizontal="right" vertical="center" wrapText="1"/>
    </xf>
    <xf numFmtId="166" fontId="8" fillId="0" borderId="2" xfId="23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2" fillId="0" borderId="0" xfId="0" applyFont="1"/>
    <xf numFmtId="49" fontId="18" fillId="15" borderId="2" xfId="0" applyNumberFormat="1" applyFont="1" applyFill="1" applyBorder="1" applyAlignment="1">
      <alignment vertical="top" wrapText="1"/>
    </xf>
    <xf numFmtId="49" fontId="18" fillId="15" borderId="2" xfId="0" applyNumberFormat="1" applyFont="1" applyFill="1" applyBorder="1" applyAlignment="1">
      <alignment horizontal="center" vertical="center" wrapText="1"/>
    </xf>
    <xf numFmtId="167" fontId="18" fillId="15" borderId="2" xfId="23" applyNumberFormat="1" applyFont="1" applyFill="1" applyBorder="1" applyAlignment="1">
      <alignment horizontal="right" vertical="center" wrapText="1"/>
    </xf>
    <xf numFmtId="166" fontId="18" fillId="15" borderId="2" xfId="23" applyNumberFormat="1" applyFont="1" applyFill="1" applyBorder="1" applyAlignment="1">
      <alignment horizontal="right" vertical="center" wrapText="1"/>
    </xf>
    <xf numFmtId="166" fontId="15" fillId="15" borderId="2" xfId="23" applyNumberFormat="1" applyFont="1" applyFill="1" applyBorder="1" applyAlignment="1">
      <alignment horizontal="right" vertical="center" wrapText="1"/>
    </xf>
    <xf numFmtId="167" fontId="9" fillId="15" borderId="2" xfId="23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3" xfId="0" applyFont="1" applyBorder="1" applyAlignment="1">
      <alignment horizontal="right" wrapText="1"/>
    </xf>
    <xf numFmtId="168" fontId="4" fillId="0" borderId="3" xfId="23" applyNumberFormat="1" applyFont="1" applyBorder="1" applyAlignment="1">
      <alignment horizontal="right"/>
    </xf>
    <xf numFmtId="0" fontId="21" fillId="0" borderId="0" xfId="0" applyNumberFormat="1" applyFont="1" applyFill="1" applyAlignment="1">
      <alignment horizontal="center" vertical="top" wrapText="1"/>
    </xf>
    <xf numFmtId="166" fontId="4" fillId="0" borderId="3" xfId="23" applyNumberFormat="1" applyFont="1" applyBorder="1" applyAlignment="1">
      <alignment horizontal="right"/>
    </xf>
    <xf numFmtId="0" fontId="3" fillId="0" borderId="0" xfId="0" applyFont="1" applyFill="1" applyAlignment="1">
      <alignment horizontal="left" wrapText="1"/>
    </xf>
    <xf numFmtId="0" fontId="5" fillId="0" borderId="0" xfId="0" applyFont="1" applyAlignment="1">
      <alignment horizontal="center" vertical="top" wrapText="1"/>
    </xf>
  </cellXfs>
  <cellStyles count="24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xl30" xfId="19"/>
    <cellStyle name="xl42" xfId="20"/>
    <cellStyle name="Обычный" xfId="0" builtinId="0"/>
    <cellStyle name="Тысячи [0]_Лист1" xfId="21"/>
    <cellStyle name="Тысячи_Лист1" xfId="22"/>
    <cellStyle name="Финансовый" xfId="23" builtinId="3"/>
  </cellStyles>
  <dxfs count="0"/>
  <tableStyles count="0" defaultTableStyle="TableStyleMedium2" defaultPivotStyle="PivotStyleLight16"/>
  <colors>
    <mruColors>
      <color rgb="FFCC66FF"/>
      <color rgb="FFCCFFFF"/>
      <color rgb="FFFFFF99"/>
      <color rgb="FFCC99FF"/>
      <color rgb="FF66FF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146"/>
  <sheetViews>
    <sheetView view="pageBreakPreview" zoomScale="120" zoomScaleNormal="100" workbookViewId="0">
      <selection activeCell="A139" sqref="A139"/>
    </sheetView>
  </sheetViews>
  <sheetFormatPr defaultRowHeight="12.75" x14ac:dyDescent="0.2"/>
  <cols>
    <col min="1" max="1" width="54.28515625" customWidth="1"/>
    <col min="2" max="2" width="9.7109375" customWidth="1"/>
    <col min="3" max="3" width="26.7109375" customWidth="1"/>
    <col min="4" max="4" width="16.140625" customWidth="1"/>
  </cols>
  <sheetData>
    <row r="1" spans="1:4" ht="15.75" x14ac:dyDescent="0.25">
      <c r="A1" s="217" t="s">
        <v>16</v>
      </c>
      <c r="B1" s="217"/>
      <c r="C1" s="217"/>
      <c r="D1" s="217"/>
    </row>
    <row r="2" spans="1:4" ht="15.75" x14ac:dyDescent="0.25">
      <c r="A2" s="217" t="s">
        <v>831</v>
      </c>
      <c r="B2" s="217"/>
      <c r="C2" s="217"/>
      <c r="D2" s="217"/>
    </row>
    <row r="3" spans="1:4" ht="15.75" x14ac:dyDescent="0.25">
      <c r="A3" s="217" t="s">
        <v>832</v>
      </c>
      <c r="B3" s="217"/>
      <c r="C3" s="217"/>
      <c r="D3" s="217"/>
    </row>
    <row r="4" spans="1:4" ht="15.75" x14ac:dyDescent="0.25">
      <c r="A4" s="213"/>
      <c r="B4" s="213"/>
      <c r="C4" s="213"/>
      <c r="D4" s="213"/>
    </row>
    <row r="5" spans="1:4" ht="15.75" x14ac:dyDescent="0.25">
      <c r="A5" s="218" t="s">
        <v>641</v>
      </c>
      <c r="B5" s="218"/>
      <c r="C5" s="218"/>
      <c r="D5" s="218"/>
    </row>
    <row r="6" spans="1:4" ht="15.75" x14ac:dyDescent="0.25">
      <c r="A6" s="218" t="s">
        <v>816</v>
      </c>
      <c r="B6" s="218"/>
      <c r="C6" s="218"/>
      <c r="D6" s="218"/>
    </row>
    <row r="7" spans="1:4" ht="15.75" x14ac:dyDescent="0.25">
      <c r="A7" s="219" t="s">
        <v>642</v>
      </c>
      <c r="B7" s="219"/>
      <c r="C7" s="219"/>
      <c r="D7" s="219"/>
    </row>
    <row r="8" spans="1:4" ht="18.75" x14ac:dyDescent="0.3">
      <c r="A8" s="156"/>
      <c r="B8" s="157"/>
      <c r="C8" s="158"/>
      <c r="D8" s="159"/>
    </row>
    <row r="9" spans="1:4" ht="18.75" x14ac:dyDescent="0.3">
      <c r="A9" s="160"/>
      <c r="B9" s="161"/>
      <c r="C9" s="162"/>
      <c r="D9" s="163" t="s">
        <v>588</v>
      </c>
    </row>
    <row r="10" spans="1:4" ht="15.75" x14ac:dyDescent="0.2">
      <c r="A10" s="214" t="s">
        <v>643</v>
      </c>
      <c r="B10" s="215" t="s">
        <v>644</v>
      </c>
      <c r="C10" s="215"/>
      <c r="D10" s="216" t="s">
        <v>637</v>
      </c>
    </row>
    <row r="11" spans="1:4" ht="63" x14ac:dyDescent="0.2">
      <c r="A11" s="214"/>
      <c r="B11" s="212" t="s">
        <v>645</v>
      </c>
      <c r="C11" s="212" t="s">
        <v>646</v>
      </c>
      <c r="D11" s="216"/>
    </row>
    <row r="12" spans="1:4" ht="31.5" x14ac:dyDescent="0.2">
      <c r="A12" s="20" t="s">
        <v>647</v>
      </c>
      <c r="B12" s="14" t="s">
        <v>648</v>
      </c>
      <c r="C12" s="165"/>
      <c r="D12" s="108">
        <f>D13+D14+D15+D16</f>
        <v>3971.3285000000001</v>
      </c>
    </row>
    <row r="13" spans="1:4" ht="31.5" x14ac:dyDescent="0.2">
      <c r="A13" s="166" t="s">
        <v>94</v>
      </c>
      <c r="B13" s="167"/>
      <c r="C13" s="168" t="s">
        <v>649</v>
      </c>
      <c r="D13" s="112">
        <v>3122.4701599999999</v>
      </c>
    </row>
    <row r="14" spans="1:4" ht="33.75" customHeight="1" x14ac:dyDescent="0.2">
      <c r="A14" s="166" t="s">
        <v>650</v>
      </c>
      <c r="B14" s="167"/>
      <c r="C14" s="211" t="s">
        <v>651</v>
      </c>
      <c r="D14" s="112">
        <v>30</v>
      </c>
    </row>
    <row r="15" spans="1:4" ht="47.25" x14ac:dyDescent="0.2">
      <c r="A15" s="169" t="s">
        <v>652</v>
      </c>
      <c r="B15" s="170"/>
      <c r="C15" s="170" t="s">
        <v>653</v>
      </c>
      <c r="D15" s="171">
        <v>9.3000000000000007</v>
      </c>
    </row>
    <row r="16" spans="1:4" ht="47.25" x14ac:dyDescent="0.2">
      <c r="A16" s="172" t="s">
        <v>654</v>
      </c>
      <c r="B16" s="173"/>
      <c r="C16" s="211" t="s">
        <v>655</v>
      </c>
      <c r="D16" s="174">
        <v>809.55834000000004</v>
      </c>
    </row>
    <row r="17" spans="1:4" ht="31.5" x14ac:dyDescent="0.2">
      <c r="A17" s="20" t="s">
        <v>657</v>
      </c>
      <c r="B17" s="14" t="s">
        <v>658</v>
      </c>
      <c r="C17" s="14"/>
      <c r="D17" s="108">
        <f>D18</f>
        <v>6.2183999999999999</v>
      </c>
    </row>
    <row r="18" spans="1:4" ht="47.25" x14ac:dyDescent="0.25">
      <c r="A18" s="176" t="s">
        <v>659</v>
      </c>
      <c r="B18" s="177"/>
      <c r="C18" s="168" t="s">
        <v>660</v>
      </c>
      <c r="D18" s="112">
        <v>6.2183999999999999</v>
      </c>
    </row>
    <row r="19" spans="1:4" ht="15.75" x14ac:dyDescent="0.2">
      <c r="A19" s="20" t="s">
        <v>661</v>
      </c>
      <c r="B19" s="14" t="s">
        <v>662</v>
      </c>
      <c r="C19" s="14"/>
      <c r="D19" s="108">
        <f>D20+D21</f>
        <v>109.5</v>
      </c>
    </row>
    <row r="20" spans="1:4" ht="47.25" x14ac:dyDescent="0.25">
      <c r="A20" s="166" t="s">
        <v>663</v>
      </c>
      <c r="B20" s="177"/>
      <c r="C20" s="168" t="s">
        <v>664</v>
      </c>
      <c r="D20" s="112">
        <v>42.5</v>
      </c>
    </row>
    <row r="21" spans="1:4" ht="47.25" x14ac:dyDescent="0.25">
      <c r="A21" s="176" t="s">
        <v>659</v>
      </c>
      <c r="B21" s="177"/>
      <c r="C21" s="168" t="s">
        <v>660</v>
      </c>
      <c r="D21" s="112">
        <v>67</v>
      </c>
    </row>
    <row r="22" spans="1:4" ht="31.5" x14ac:dyDescent="0.2">
      <c r="A22" s="20" t="s">
        <v>665</v>
      </c>
      <c r="B22" s="14" t="s">
        <v>666</v>
      </c>
      <c r="C22" s="14"/>
      <c r="D22" s="108">
        <f>D23+D24</f>
        <v>904.42507000000001</v>
      </c>
    </row>
    <row r="23" spans="1:4" ht="31.5" x14ac:dyDescent="0.2">
      <c r="A23" s="166" t="s">
        <v>667</v>
      </c>
      <c r="B23" s="167"/>
      <c r="C23" s="168" t="s">
        <v>668</v>
      </c>
      <c r="D23" s="112">
        <v>222.77068</v>
      </c>
    </row>
    <row r="24" spans="1:4" ht="47.25" x14ac:dyDescent="0.2">
      <c r="A24" s="176" t="s">
        <v>659</v>
      </c>
      <c r="B24" s="167"/>
      <c r="C24" s="168" t="s">
        <v>660</v>
      </c>
      <c r="D24" s="112">
        <v>681.65439000000003</v>
      </c>
    </row>
    <row r="25" spans="1:4" ht="47.25" x14ac:dyDescent="0.2">
      <c r="A25" s="20" t="s">
        <v>670</v>
      </c>
      <c r="B25" s="14" t="s">
        <v>671</v>
      </c>
      <c r="C25" s="14"/>
      <c r="D25" s="108">
        <f>D26</f>
        <v>1542.66029</v>
      </c>
    </row>
    <row r="26" spans="1:4" ht="47.25" x14ac:dyDescent="0.25">
      <c r="A26" s="176" t="s">
        <v>659</v>
      </c>
      <c r="B26" s="177"/>
      <c r="C26" s="168" t="s">
        <v>660</v>
      </c>
      <c r="D26" s="112">
        <v>1542.66029</v>
      </c>
    </row>
    <row r="27" spans="1:4" ht="15.75" x14ac:dyDescent="0.2">
      <c r="A27" s="20" t="s">
        <v>672</v>
      </c>
      <c r="B27" s="153">
        <v>100</v>
      </c>
      <c r="C27" s="14"/>
      <c r="D27" s="108">
        <f>D28+D29+D30+D31</f>
        <v>19059.360189999999</v>
      </c>
    </row>
    <row r="28" spans="1:4" ht="94.5" x14ac:dyDescent="0.25">
      <c r="A28" s="166" t="s">
        <v>673</v>
      </c>
      <c r="B28" s="177"/>
      <c r="C28" s="175" t="s">
        <v>822</v>
      </c>
      <c r="D28" s="112">
        <v>8675.4997600000006</v>
      </c>
    </row>
    <row r="29" spans="1:4" ht="110.25" x14ac:dyDescent="0.25">
      <c r="A29" s="166" t="s">
        <v>674</v>
      </c>
      <c r="B29" s="177"/>
      <c r="C29" s="175" t="s">
        <v>823</v>
      </c>
      <c r="D29" s="112">
        <v>63.767220000000002</v>
      </c>
    </row>
    <row r="30" spans="1:4" ht="94.5" x14ac:dyDescent="0.25">
      <c r="A30" s="166" t="s">
        <v>675</v>
      </c>
      <c r="B30" s="177"/>
      <c r="C30" s="175" t="s">
        <v>824</v>
      </c>
      <c r="D30" s="112">
        <v>11590.497139999999</v>
      </c>
    </row>
    <row r="31" spans="1:4" ht="94.5" x14ac:dyDescent="0.25">
      <c r="A31" s="166" t="s">
        <v>676</v>
      </c>
      <c r="B31" s="177"/>
      <c r="C31" s="175" t="s">
        <v>825</v>
      </c>
      <c r="D31" s="112">
        <v>-1270.4039299999999</v>
      </c>
    </row>
    <row r="32" spans="1:4" ht="31.5" x14ac:dyDescent="0.2">
      <c r="A32" s="20" t="s">
        <v>677</v>
      </c>
      <c r="B32" s="14" t="s">
        <v>678</v>
      </c>
      <c r="C32" s="14"/>
      <c r="D32" s="108">
        <f>D33+D34</f>
        <v>57.034350000000003</v>
      </c>
    </row>
    <row r="33" spans="1:4" ht="47.25" x14ac:dyDescent="0.2">
      <c r="A33" s="176" t="s">
        <v>659</v>
      </c>
      <c r="B33" s="167"/>
      <c r="C33" s="168" t="s">
        <v>660</v>
      </c>
      <c r="D33" s="112">
        <v>55.034350000000003</v>
      </c>
    </row>
    <row r="34" spans="1:4" ht="31.5" x14ac:dyDescent="0.2">
      <c r="A34" s="166" t="s">
        <v>679</v>
      </c>
      <c r="B34" s="167"/>
      <c r="C34" s="168" t="s">
        <v>656</v>
      </c>
      <c r="D34" s="112">
        <v>2</v>
      </c>
    </row>
    <row r="35" spans="1:4" ht="31.5" x14ac:dyDescent="0.2">
      <c r="A35" s="20" t="s">
        <v>680</v>
      </c>
      <c r="B35" s="14" t="s">
        <v>681</v>
      </c>
      <c r="C35" s="14"/>
      <c r="D35" s="108">
        <f>D36+D37+D38+D39</f>
        <v>1194.16895</v>
      </c>
    </row>
    <row r="36" spans="1:4" ht="78.75" x14ac:dyDescent="0.2">
      <c r="A36" s="176" t="s">
        <v>682</v>
      </c>
      <c r="B36" s="212"/>
      <c r="C36" s="168" t="s">
        <v>683</v>
      </c>
      <c r="D36" s="112">
        <v>174.45886999999999</v>
      </c>
    </row>
    <row r="37" spans="1:4" ht="63" x14ac:dyDescent="0.2">
      <c r="A37" s="176" t="s">
        <v>684</v>
      </c>
      <c r="B37" s="178"/>
      <c r="C37" s="168" t="s">
        <v>685</v>
      </c>
      <c r="D37" s="112">
        <v>6</v>
      </c>
    </row>
    <row r="38" spans="1:4" ht="63" x14ac:dyDescent="0.2">
      <c r="A38" s="166" t="s">
        <v>686</v>
      </c>
      <c r="B38" s="167"/>
      <c r="C38" s="168" t="s">
        <v>687</v>
      </c>
      <c r="D38" s="112">
        <v>1009.7100799999999</v>
      </c>
    </row>
    <row r="39" spans="1:4" ht="47.25" x14ac:dyDescent="0.2">
      <c r="A39" s="176" t="s">
        <v>659</v>
      </c>
      <c r="B39" s="167"/>
      <c r="C39" s="168" t="s">
        <v>660</v>
      </c>
      <c r="D39" s="112">
        <v>4</v>
      </c>
    </row>
    <row r="40" spans="1:4" ht="15.75" x14ac:dyDescent="0.2">
      <c r="A40" s="20" t="s">
        <v>688</v>
      </c>
      <c r="B40" s="153">
        <v>153</v>
      </c>
      <c r="C40" s="14"/>
      <c r="D40" s="108">
        <f>D41</f>
        <v>2</v>
      </c>
    </row>
    <row r="41" spans="1:4" ht="47.25" x14ac:dyDescent="0.2">
      <c r="A41" s="176" t="s">
        <v>659</v>
      </c>
      <c r="B41" s="167"/>
      <c r="C41" s="168" t="s">
        <v>660</v>
      </c>
      <c r="D41" s="112">
        <v>2</v>
      </c>
    </row>
    <row r="42" spans="1:4" ht="47.25" x14ac:dyDescent="0.2">
      <c r="A42" s="20" t="s">
        <v>689</v>
      </c>
      <c r="B42" s="153">
        <v>160</v>
      </c>
      <c r="C42" s="14"/>
      <c r="D42" s="108">
        <f>D43+D44</f>
        <v>5316</v>
      </c>
    </row>
    <row r="43" spans="1:4" ht="78.75" x14ac:dyDescent="0.2">
      <c r="A43" s="176" t="s">
        <v>682</v>
      </c>
      <c r="B43" s="167"/>
      <c r="C43" s="168" t="s">
        <v>683</v>
      </c>
      <c r="D43" s="112">
        <v>4972</v>
      </c>
    </row>
    <row r="44" spans="1:4" ht="78.75" x14ac:dyDescent="0.2">
      <c r="A44" s="176" t="s">
        <v>690</v>
      </c>
      <c r="B44" s="167"/>
      <c r="C44" s="168" t="s">
        <v>656</v>
      </c>
      <c r="D44" s="112">
        <v>344</v>
      </c>
    </row>
    <row r="45" spans="1:4" ht="31.5" x14ac:dyDescent="0.2">
      <c r="A45" s="20" t="s">
        <v>691</v>
      </c>
      <c r="B45" s="14" t="s">
        <v>692</v>
      </c>
      <c r="C45" s="14"/>
      <c r="D45" s="108">
        <f>D46+D47</f>
        <v>551.74345000000005</v>
      </c>
    </row>
    <row r="46" spans="1:4" ht="63" x14ac:dyDescent="0.2">
      <c r="A46" s="166" t="s">
        <v>693</v>
      </c>
      <c r="B46" s="167"/>
      <c r="C46" s="168" t="s">
        <v>694</v>
      </c>
      <c r="D46" s="112">
        <v>540.74345000000005</v>
      </c>
    </row>
    <row r="47" spans="1:4" ht="31.5" x14ac:dyDescent="0.2">
      <c r="A47" s="166" t="s">
        <v>695</v>
      </c>
      <c r="B47" s="167"/>
      <c r="C47" s="168" t="s">
        <v>696</v>
      </c>
      <c r="D47" s="112">
        <v>11</v>
      </c>
    </row>
    <row r="48" spans="1:4" ht="31.5" x14ac:dyDescent="0.2">
      <c r="A48" s="179" t="s">
        <v>826</v>
      </c>
      <c r="B48" s="14" t="s">
        <v>827</v>
      </c>
      <c r="C48" s="14"/>
      <c r="D48" s="108">
        <f>D49</f>
        <v>23</v>
      </c>
    </row>
    <row r="49" spans="1:4" ht="47.25" x14ac:dyDescent="0.2">
      <c r="A49" s="176" t="s">
        <v>659</v>
      </c>
      <c r="B49" s="167"/>
      <c r="C49" s="168" t="s">
        <v>660</v>
      </c>
      <c r="D49" s="112">
        <v>23</v>
      </c>
    </row>
    <row r="50" spans="1:4" ht="47.25" x14ac:dyDescent="0.2">
      <c r="A50" s="20" t="s">
        <v>697</v>
      </c>
      <c r="B50" s="153">
        <v>180</v>
      </c>
      <c r="C50" s="180"/>
      <c r="D50" s="108">
        <f>D51</f>
        <v>13.02</v>
      </c>
    </row>
    <row r="51" spans="1:4" ht="47.25" x14ac:dyDescent="0.2">
      <c r="A51" s="176" t="s">
        <v>659</v>
      </c>
      <c r="B51" s="167"/>
      <c r="C51" s="168" t="s">
        <v>660</v>
      </c>
      <c r="D51" s="112">
        <v>13.02</v>
      </c>
    </row>
    <row r="52" spans="1:4" ht="15.75" x14ac:dyDescent="0.2">
      <c r="A52" s="20" t="s">
        <v>698</v>
      </c>
      <c r="B52" s="14" t="s">
        <v>699</v>
      </c>
      <c r="C52" s="14"/>
      <c r="D52" s="108">
        <f>SUM(D53:D72)</f>
        <v>2155534.4218900003</v>
      </c>
    </row>
    <row r="53" spans="1:4" ht="94.5" x14ac:dyDescent="0.2">
      <c r="A53" s="166" t="s">
        <v>700</v>
      </c>
      <c r="B53" s="167"/>
      <c r="C53" s="175" t="s">
        <v>701</v>
      </c>
      <c r="D53" s="174">
        <v>1027444.02732</v>
      </c>
    </row>
    <row r="54" spans="1:4" ht="141.75" x14ac:dyDescent="0.2">
      <c r="A54" s="166" t="s">
        <v>702</v>
      </c>
      <c r="B54" s="167"/>
      <c r="C54" s="175" t="s">
        <v>703</v>
      </c>
      <c r="D54" s="174">
        <v>4948.0089900000003</v>
      </c>
    </row>
    <row r="55" spans="1:4" ht="63" x14ac:dyDescent="0.2">
      <c r="A55" s="166" t="s">
        <v>704</v>
      </c>
      <c r="B55" s="167"/>
      <c r="C55" s="175" t="s">
        <v>705</v>
      </c>
      <c r="D55" s="174">
        <v>5330.16662</v>
      </c>
    </row>
    <row r="56" spans="1:4" ht="47.25" x14ac:dyDescent="0.2">
      <c r="A56" s="166" t="s">
        <v>706</v>
      </c>
      <c r="B56" s="167"/>
      <c r="C56" s="173" t="s">
        <v>707</v>
      </c>
      <c r="D56" s="174">
        <v>318319.84012000001</v>
      </c>
    </row>
    <row r="57" spans="1:4" ht="63" x14ac:dyDescent="0.2">
      <c r="A57" s="166" t="s">
        <v>708</v>
      </c>
      <c r="B57" s="167"/>
      <c r="C57" s="173" t="s">
        <v>709</v>
      </c>
      <c r="D57" s="174">
        <v>62.785640000000001</v>
      </c>
    </row>
    <row r="58" spans="1:4" ht="47.25" x14ac:dyDescent="0.2">
      <c r="A58" s="166" t="s">
        <v>710</v>
      </c>
      <c r="B58" s="167"/>
      <c r="C58" s="173" t="s">
        <v>711</v>
      </c>
      <c r="D58" s="174">
        <v>182734.31987000001</v>
      </c>
    </row>
    <row r="59" spans="1:4" ht="63" x14ac:dyDescent="0.2">
      <c r="A59" s="166" t="s">
        <v>712</v>
      </c>
      <c r="B59" s="167"/>
      <c r="C59" s="173" t="s">
        <v>713</v>
      </c>
      <c r="D59" s="174">
        <v>2.5602100000000001</v>
      </c>
    </row>
    <row r="60" spans="1:4" ht="31.5" x14ac:dyDescent="0.2">
      <c r="A60" s="166" t="s">
        <v>92</v>
      </c>
      <c r="B60" s="181"/>
      <c r="C60" s="173" t="s">
        <v>714</v>
      </c>
      <c r="D60" s="174">
        <v>105736.11275</v>
      </c>
    </row>
    <row r="61" spans="1:4" ht="47.25" x14ac:dyDescent="0.2">
      <c r="A61" s="166" t="s">
        <v>715</v>
      </c>
      <c r="B61" s="211"/>
      <c r="C61" s="173" t="s">
        <v>716</v>
      </c>
      <c r="D61" s="174">
        <v>95.670410000000004</v>
      </c>
    </row>
    <row r="62" spans="1:4" ht="15.75" x14ac:dyDescent="0.2">
      <c r="A62" s="166" t="s">
        <v>93</v>
      </c>
      <c r="B62" s="211"/>
      <c r="C62" s="173" t="s">
        <v>717</v>
      </c>
      <c r="D62" s="174">
        <v>4503.4187700000002</v>
      </c>
    </row>
    <row r="63" spans="1:4" ht="31.5" x14ac:dyDescent="0.2">
      <c r="A63" s="166" t="s">
        <v>718</v>
      </c>
      <c r="B63" s="167"/>
      <c r="C63" s="173" t="s">
        <v>719</v>
      </c>
      <c r="D63" s="174">
        <v>0.26506999999999997</v>
      </c>
    </row>
    <row r="64" spans="1:4" ht="47.25" x14ac:dyDescent="0.2">
      <c r="A64" s="166" t="s">
        <v>720</v>
      </c>
      <c r="B64" s="211"/>
      <c r="C64" s="173" t="s">
        <v>721</v>
      </c>
      <c r="D64" s="174">
        <v>2989.3599399999998</v>
      </c>
    </row>
    <row r="65" spans="1:4" ht="47.25" x14ac:dyDescent="0.2">
      <c r="A65" s="166" t="s">
        <v>722</v>
      </c>
      <c r="B65" s="167"/>
      <c r="C65" s="173" t="s">
        <v>723</v>
      </c>
      <c r="D65" s="174">
        <v>67816.126579999996</v>
      </c>
    </row>
    <row r="66" spans="1:4" ht="31.5" x14ac:dyDescent="0.2">
      <c r="A66" s="166" t="s">
        <v>724</v>
      </c>
      <c r="B66" s="167"/>
      <c r="C66" s="175" t="s">
        <v>725</v>
      </c>
      <c r="D66" s="174">
        <v>102205.78627</v>
      </c>
    </row>
    <row r="67" spans="1:4" ht="31.5" x14ac:dyDescent="0.2">
      <c r="A67" s="166" t="s">
        <v>726</v>
      </c>
      <c r="B67" s="167"/>
      <c r="C67" s="175" t="s">
        <v>727</v>
      </c>
      <c r="D67" s="174">
        <v>60930.733319999999</v>
      </c>
    </row>
    <row r="68" spans="1:4" ht="47.25" x14ac:dyDescent="0.2">
      <c r="A68" s="166" t="s">
        <v>728</v>
      </c>
      <c r="B68" s="167"/>
      <c r="C68" s="173" t="s">
        <v>729</v>
      </c>
      <c r="D68" s="174">
        <v>169308.00803</v>
      </c>
    </row>
    <row r="69" spans="1:4" ht="47.25" x14ac:dyDescent="0.2">
      <c r="A69" s="166" t="s">
        <v>730</v>
      </c>
      <c r="B69" s="167"/>
      <c r="C69" s="173" t="s">
        <v>731</v>
      </c>
      <c r="D69" s="174">
        <v>38351.27792</v>
      </c>
    </row>
    <row r="70" spans="1:4" ht="63" x14ac:dyDescent="0.2">
      <c r="A70" s="166" t="s">
        <v>732</v>
      </c>
      <c r="B70" s="167"/>
      <c r="C70" s="173" t="s">
        <v>733</v>
      </c>
      <c r="D70" s="174">
        <v>62450.104520000001</v>
      </c>
    </row>
    <row r="71" spans="1:4" ht="143.25" customHeight="1" x14ac:dyDescent="0.2">
      <c r="A71" s="182" t="s">
        <v>734</v>
      </c>
      <c r="B71" s="167"/>
      <c r="C71" s="168" t="s">
        <v>735</v>
      </c>
      <c r="D71" s="112">
        <v>1801.60068</v>
      </c>
    </row>
    <row r="72" spans="1:4" ht="78.75" x14ac:dyDescent="0.2">
      <c r="A72" s="182" t="s">
        <v>736</v>
      </c>
      <c r="B72" s="167"/>
      <c r="C72" s="168" t="s">
        <v>737</v>
      </c>
      <c r="D72" s="112">
        <v>504.24885999999998</v>
      </c>
    </row>
    <row r="73" spans="1:4" ht="18" customHeight="1" x14ac:dyDescent="0.2">
      <c r="A73" s="183" t="s">
        <v>738</v>
      </c>
      <c r="B73" s="14" t="s">
        <v>739</v>
      </c>
      <c r="C73" s="14"/>
      <c r="D73" s="108">
        <f>SUM(D74:D80)</f>
        <v>9277.0549200000005</v>
      </c>
    </row>
    <row r="74" spans="1:4" ht="78.75" x14ac:dyDescent="0.2">
      <c r="A74" s="182" t="s">
        <v>682</v>
      </c>
      <c r="B74" s="181"/>
      <c r="C74" s="168" t="s">
        <v>683</v>
      </c>
      <c r="D74" s="112">
        <v>265.28251</v>
      </c>
    </row>
    <row r="75" spans="1:4" ht="78.75" x14ac:dyDescent="0.2">
      <c r="A75" s="182" t="s">
        <v>682</v>
      </c>
      <c r="B75" s="181"/>
      <c r="C75" s="168" t="s">
        <v>685</v>
      </c>
      <c r="D75" s="112">
        <v>7.3292999999999999</v>
      </c>
    </row>
    <row r="76" spans="1:4" ht="65.25" customHeight="1" x14ac:dyDescent="0.2">
      <c r="A76" s="182" t="s">
        <v>740</v>
      </c>
      <c r="B76" s="181"/>
      <c r="C76" s="168" t="s">
        <v>741</v>
      </c>
      <c r="D76" s="112">
        <v>802.00009</v>
      </c>
    </row>
    <row r="77" spans="1:4" ht="63" x14ac:dyDescent="0.2">
      <c r="A77" s="182" t="s">
        <v>742</v>
      </c>
      <c r="B77" s="181"/>
      <c r="C77" s="168" t="s">
        <v>687</v>
      </c>
      <c r="D77" s="112">
        <v>362.50124</v>
      </c>
    </row>
    <row r="78" spans="1:4" ht="31.5" x14ac:dyDescent="0.2">
      <c r="A78" s="176" t="s">
        <v>743</v>
      </c>
      <c r="B78" s="167"/>
      <c r="C78" s="168" t="s">
        <v>744</v>
      </c>
      <c r="D78" s="112">
        <v>2288.9737300000002</v>
      </c>
    </row>
    <row r="79" spans="1:4" ht="78.75" x14ac:dyDescent="0.2">
      <c r="A79" s="176" t="s">
        <v>669</v>
      </c>
      <c r="B79" s="167"/>
      <c r="C79" s="168" t="s">
        <v>656</v>
      </c>
      <c r="D79" s="112">
        <v>1961.13409</v>
      </c>
    </row>
    <row r="80" spans="1:4" ht="47.25" x14ac:dyDescent="0.2">
      <c r="A80" s="176" t="s">
        <v>745</v>
      </c>
      <c r="B80" s="167"/>
      <c r="C80" s="168" t="s">
        <v>660</v>
      </c>
      <c r="D80" s="112">
        <v>3589.8339599999999</v>
      </c>
    </row>
    <row r="81" spans="1:4" ht="15.75" x14ac:dyDescent="0.2">
      <c r="A81" s="20" t="s">
        <v>746</v>
      </c>
      <c r="B81" s="153">
        <v>318</v>
      </c>
      <c r="C81" s="180"/>
      <c r="D81" s="108">
        <f>D82</f>
        <v>44</v>
      </c>
    </row>
    <row r="82" spans="1:4" ht="47.25" x14ac:dyDescent="0.2">
      <c r="A82" s="176" t="s">
        <v>659</v>
      </c>
      <c r="B82" s="167"/>
      <c r="C82" s="168" t="s">
        <v>747</v>
      </c>
      <c r="D82" s="112">
        <v>44</v>
      </c>
    </row>
    <row r="83" spans="1:4" ht="47.25" x14ac:dyDescent="0.2">
      <c r="A83" s="20" t="s">
        <v>748</v>
      </c>
      <c r="B83" s="14" t="s">
        <v>749</v>
      </c>
      <c r="C83" s="14"/>
      <c r="D83" s="108">
        <f>D84+D85</f>
        <v>1708.96721</v>
      </c>
    </row>
    <row r="84" spans="1:4" ht="31.5" x14ac:dyDescent="0.2">
      <c r="A84" s="166" t="s">
        <v>667</v>
      </c>
      <c r="B84" s="167"/>
      <c r="C84" s="168" t="s">
        <v>668</v>
      </c>
      <c r="D84" s="112">
        <v>1683.96721</v>
      </c>
    </row>
    <row r="85" spans="1:4" ht="47.25" x14ac:dyDescent="0.2">
      <c r="A85" s="176" t="s">
        <v>659</v>
      </c>
      <c r="B85" s="167"/>
      <c r="C85" s="168" t="s">
        <v>660</v>
      </c>
      <c r="D85" s="112">
        <v>25</v>
      </c>
    </row>
    <row r="86" spans="1:4" ht="47.25" x14ac:dyDescent="0.2">
      <c r="A86" s="20" t="s">
        <v>750</v>
      </c>
      <c r="B86" s="14" t="s">
        <v>751</v>
      </c>
      <c r="C86" s="14"/>
      <c r="D86" s="108">
        <f>D87+D88</f>
        <v>8619.853720000001</v>
      </c>
    </row>
    <row r="87" spans="1:4" ht="47.25" x14ac:dyDescent="0.2">
      <c r="A87" s="176" t="s">
        <v>752</v>
      </c>
      <c r="B87" s="212"/>
      <c r="C87" s="168" t="s">
        <v>696</v>
      </c>
      <c r="D87" s="112">
        <v>1178.3556100000001</v>
      </c>
    </row>
    <row r="88" spans="1:4" ht="47.25" x14ac:dyDescent="0.2">
      <c r="A88" s="176" t="s">
        <v>753</v>
      </c>
      <c r="B88" s="167"/>
      <c r="C88" s="168" t="s">
        <v>754</v>
      </c>
      <c r="D88" s="112">
        <v>7441.4981100000005</v>
      </c>
    </row>
    <row r="89" spans="1:4" ht="31.5" x14ac:dyDescent="0.2">
      <c r="A89" s="20" t="s">
        <v>586</v>
      </c>
      <c r="B89" s="14" t="s">
        <v>517</v>
      </c>
      <c r="C89" s="14"/>
      <c r="D89" s="108">
        <f>D90+D91+D92+D93+D94+D95+D96</f>
        <v>28699.97652</v>
      </c>
    </row>
    <row r="90" spans="1:4" ht="31.5" x14ac:dyDescent="0.2">
      <c r="A90" s="166" t="s">
        <v>755</v>
      </c>
      <c r="B90" s="175"/>
      <c r="C90" s="175" t="s">
        <v>756</v>
      </c>
      <c r="D90" s="112">
        <v>946.7</v>
      </c>
    </row>
    <row r="91" spans="1:4" ht="94.5" x14ac:dyDescent="0.2">
      <c r="A91" s="166" t="s">
        <v>363</v>
      </c>
      <c r="B91" s="175"/>
      <c r="C91" s="175" t="s">
        <v>757</v>
      </c>
      <c r="D91" s="112">
        <v>9529.5609600000007</v>
      </c>
    </row>
    <row r="92" spans="1:4" ht="61.5" customHeight="1" x14ac:dyDescent="0.2">
      <c r="A92" s="166" t="s">
        <v>758</v>
      </c>
      <c r="B92" s="167"/>
      <c r="C92" s="168" t="s">
        <v>759</v>
      </c>
      <c r="D92" s="174">
        <v>583.23510999999996</v>
      </c>
    </row>
    <row r="93" spans="1:4" ht="63" x14ac:dyDescent="0.2">
      <c r="A93" s="166" t="s">
        <v>693</v>
      </c>
      <c r="B93" s="167"/>
      <c r="C93" s="168" t="s">
        <v>694</v>
      </c>
      <c r="D93" s="112">
        <v>1213.5272299999999</v>
      </c>
    </row>
    <row r="94" spans="1:4" ht="47.25" x14ac:dyDescent="0.2">
      <c r="A94" s="176" t="s">
        <v>659</v>
      </c>
      <c r="B94" s="167"/>
      <c r="C94" s="168" t="s">
        <v>760</v>
      </c>
      <c r="D94" s="112">
        <v>1944.05269</v>
      </c>
    </row>
    <row r="95" spans="1:4" ht="31.5" x14ac:dyDescent="0.2">
      <c r="A95" s="176" t="s">
        <v>761</v>
      </c>
      <c r="B95" s="167"/>
      <c r="C95" s="168" t="s">
        <v>762</v>
      </c>
      <c r="D95" s="112">
        <v>-15.697979999999999</v>
      </c>
    </row>
    <row r="96" spans="1:4" ht="31.5" x14ac:dyDescent="0.2">
      <c r="A96" s="184" t="s">
        <v>763</v>
      </c>
      <c r="B96" s="178"/>
      <c r="C96" s="175" t="s">
        <v>764</v>
      </c>
      <c r="D96" s="112">
        <v>14498.59851</v>
      </c>
    </row>
    <row r="97" spans="1:4" ht="47.25" x14ac:dyDescent="0.2">
      <c r="A97" s="20" t="s">
        <v>765</v>
      </c>
      <c r="B97" s="14" t="s">
        <v>534</v>
      </c>
      <c r="C97" s="14"/>
      <c r="D97" s="108">
        <f>D98</f>
        <v>1033.4171200000001</v>
      </c>
    </row>
    <row r="98" spans="1:4" ht="94.5" x14ac:dyDescent="0.2">
      <c r="A98" s="166" t="s">
        <v>766</v>
      </c>
      <c r="B98" s="212"/>
      <c r="C98" s="168" t="s">
        <v>757</v>
      </c>
      <c r="D98" s="112">
        <v>1033.4171200000001</v>
      </c>
    </row>
    <row r="99" spans="1:4" ht="17.25" customHeight="1" x14ac:dyDescent="0.2">
      <c r="A99" s="20" t="s">
        <v>767</v>
      </c>
      <c r="B99" s="14" t="s">
        <v>536</v>
      </c>
      <c r="C99" s="14"/>
      <c r="D99" s="108">
        <f>D100+D101+D102+D103+D104+D105+D106+D107+D108+D109+D110+D111+D112+D113+D114+D115+D116+D117+D118+D119+D120+D121</f>
        <v>2850049.1542200004</v>
      </c>
    </row>
    <row r="100" spans="1:4" ht="31.5" x14ac:dyDescent="0.2">
      <c r="A100" s="184" t="s">
        <v>768</v>
      </c>
      <c r="B100" s="178"/>
      <c r="C100" s="175" t="s">
        <v>769</v>
      </c>
      <c r="D100" s="112">
        <v>1907.5713499999999</v>
      </c>
    </row>
    <row r="101" spans="1:4" ht="31.5" x14ac:dyDescent="0.2">
      <c r="A101" s="184" t="s">
        <v>763</v>
      </c>
      <c r="B101" s="178"/>
      <c r="C101" s="175" t="s">
        <v>770</v>
      </c>
      <c r="D101" s="112">
        <v>6835.2238500000003</v>
      </c>
    </row>
    <row r="102" spans="1:4" ht="94.5" x14ac:dyDescent="0.2">
      <c r="A102" s="176" t="s">
        <v>771</v>
      </c>
      <c r="B102" s="167"/>
      <c r="C102" s="168" t="s">
        <v>772</v>
      </c>
      <c r="D102" s="112">
        <v>145864</v>
      </c>
    </row>
    <row r="103" spans="1:4" ht="78.75" x14ac:dyDescent="0.2">
      <c r="A103" s="176" t="s">
        <v>773</v>
      </c>
      <c r="B103" s="167"/>
      <c r="C103" s="168" t="s">
        <v>774</v>
      </c>
      <c r="D103" s="112">
        <v>38869</v>
      </c>
    </row>
    <row r="104" spans="1:4" ht="31.5" x14ac:dyDescent="0.2">
      <c r="A104" s="166" t="s">
        <v>628</v>
      </c>
      <c r="B104" s="167"/>
      <c r="C104" s="175" t="s">
        <v>775</v>
      </c>
      <c r="D104" s="112">
        <v>10000</v>
      </c>
    </row>
    <row r="105" spans="1:4" ht="111.75" customHeight="1" x14ac:dyDescent="0.2">
      <c r="A105" s="166" t="s">
        <v>414</v>
      </c>
      <c r="B105" s="211"/>
      <c r="C105" s="167" t="s">
        <v>776</v>
      </c>
      <c r="D105" s="112">
        <v>221219.73</v>
      </c>
    </row>
    <row r="106" spans="1:4" ht="111.75" customHeight="1" x14ac:dyDescent="0.2">
      <c r="A106" s="166" t="s">
        <v>460</v>
      </c>
      <c r="B106" s="211"/>
      <c r="C106" s="167" t="s">
        <v>459</v>
      </c>
      <c r="D106" s="112">
        <v>65994.8</v>
      </c>
    </row>
    <row r="107" spans="1:4" ht="111.75" customHeight="1" x14ac:dyDescent="0.2">
      <c r="A107" s="166" t="s">
        <v>462</v>
      </c>
      <c r="B107" s="211"/>
      <c r="C107" s="167" t="s">
        <v>461</v>
      </c>
      <c r="D107" s="112">
        <v>3449.1507900000001</v>
      </c>
    </row>
    <row r="108" spans="1:4" ht="47.25" x14ac:dyDescent="0.2">
      <c r="A108" s="166" t="s">
        <v>777</v>
      </c>
      <c r="B108" s="211"/>
      <c r="C108" s="167" t="s">
        <v>778</v>
      </c>
      <c r="D108" s="112">
        <v>3578.9</v>
      </c>
    </row>
    <row r="109" spans="1:4" ht="47.25" x14ac:dyDescent="0.2">
      <c r="A109" s="166" t="s">
        <v>779</v>
      </c>
      <c r="B109" s="211"/>
      <c r="C109" s="167" t="s">
        <v>780</v>
      </c>
      <c r="D109" s="112">
        <v>59248.18275</v>
      </c>
    </row>
    <row r="110" spans="1:4" ht="31.5" x14ac:dyDescent="0.2">
      <c r="A110" s="166" t="s">
        <v>781</v>
      </c>
      <c r="B110" s="167"/>
      <c r="C110" s="167" t="s">
        <v>782</v>
      </c>
      <c r="D110" s="174">
        <v>86.798090000000002</v>
      </c>
    </row>
    <row r="111" spans="1:4" ht="63" x14ac:dyDescent="0.2">
      <c r="A111" s="166" t="s">
        <v>783</v>
      </c>
      <c r="B111" s="167"/>
      <c r="C111" s="167" t="s">
        <v>784</v>
      </c>
      <c r="D111" s="112">
        <v>159511.54</v>
      </c>
    </row>
    <row r="112" spans="1:4" ht="94.5" x14ac:dyDescent="0.2">
      <c r="A112" s="169" t="s">
        <v>785</v>
      </c>
      <c r="B112" s="211"/>
      <c r="C112" s="170" t="s">
        <v>786</v>
      </c>
      <c r="D112" s="174">
        <v>685235.19999999995</v>
      </c>
    </row>
    <row r="113" spans="1:4" ht="110.25" x14ac:dyDescent="0.2">
      <c r="A113" s="169" t="s">
        <v>787</v>
      </c>
      <c r="B113" s="211"/>
      <c r="C113" s="170" t="s">
        <v>788</v>
      </c>
      <c r="D113" s="112">
        <v>876443</v>
      </c>
    </row>
    <row r="114" spans="1:4" ht="47.25" x14ac:dyDescent="0.2">
      <c r="A114" s="169" t="s">
        <v>261</v>
      </c>
      <c r="B114" s="211"/>
      <c r="C114" s="170" t="s">
        <v>789</v>
      </c>
      <c r="D114" s="112">
        <v>9588.0750000000007</v>
      </c>
    </row>
    <row r="115" spans="1:4" ht="63" x14ac:dyDescent="0.2">
      <c r="A115" s="169" t="s">
        <v>262</v>
      </c>
      <c r="B115" s="167"/>
      <c r="C115" s="170" t="s">
        <v>790</v>
      </c>
      <c r="D115" s="112">
        <v>38358</v>
      </c>
    </row>
    <row r="116" spans="1:4" ht="63" x14ac:dyDescent="0.2">
      <c r="A116" s="169" t="s">
        <v>151</v>
      </c>
      <c r="B116" s="185"/>
      <c r="C116" s="170" t="s">
        <v>791</v>
      </c>
      <c r="D116" s="112">
        <v>2194</v>
      </c>
    </row>
    <row r="117" spans="1:4" ht="90.75" customHeight="1" x14ac:dyDescent="0.2">
      <c r="A117" s="169" t="s">
        <v>792</v>
      </c>
      <c r="B117" s="167"/>
      <c r="C117" s="170" t="s">
        <v>793</v>
      </c>
      <c r="D117" s="174">
        <v>17006.023399999998</v>
      </c>
    </row>
    <row r="118" spans="1:4" ht="78.75" x14ac:dyDescent="0.2">
      <c r="A118" s="166" t="s">
        <v>388</v>
      </c>
      <c r="B118" s="167"/>
      <c r="C118" s="170" t="s">
        <v>828</v>
      </c>
      <c r="D118" s="174">
        <v>501521.88500000001</v>
      </c>
    </row>
    <row r="119" spans="1:4" ht="63" x14ac:dyDescent="0.2">
      <c r="A119" s="166" t="s">
        <v>829</v>
      </c>
      <c r="B119" s="167"/>
      <c r="C119" s="170" t="s">
        <v>830</v>
      </c>
      <c r="D119" s="174">
        <v>2964</v>
      </c>
    </row>
    <row r="120" spans="1:4" ht="31.5" x14ac:dyDescent="0.2">
      <c r="A120" s="176" t="s">
        <v>794</v>
      </c>
      <c r="B120" s="167"/>
      <c r="C120" s="186" t="s">
        <v>795</v>
      </c>
      <c r="D120" s="174">
        <v>850.15499999999997</v>
      </c>
    </row>
    <row r="121" spans="1:4" ht="63" x14ac:dyDescent="0.2">
      <c r="A121" s="176" t="s">
        <v>796</v>
      </c>
      <c r="B121" s="167"/>
      <c r="C121" s="173" t="s">
        <v>797</v>
      </c>
      <c r="D121" s="174">
        <v>-676.08100999999999</v>
      </c>
    </row>
    <row r="122" spans="1:4" ht="47.25" x14ac:dyDescent="0.2">
      <c r="A122" s="20" t="s">
        <v>798</v>
      </c>
      <c r="B122" s="187">
        <v>611</v>
      </c>
      <c r="C122" s="152"/>
      <c r="D122" s="188">
        <f>D123+D124+D125+D126+D127</f>
        <v>126932.81590000002</v>
      </c>
    </row>
    <row r="123" spans="1:4" ht="94.5" x14ac:dyDescent="0.2">
      <c r="A123" s="169" t="s">
        <v>799</v>
      </c>
      <c r="B123" s="189"/>
      <c r="C123" s="170" t="s">
        <v>800</v>
      </c>
      <c r="D123" s="171">
        <v>75495.103520000004</v>
      </c>
    </row>
    <row r="124" spans="1:4" ht="78.75" x14ac:dyDescent="0.2">
      <c r="A124" s="169" t="s">
        <v>801</v>
      </c>
      <c r="B124" s="189"/>
      <c r="C124" s="170" t="s">
        <v>802</v>
      </c>
      <c r="D124" s="171">
        <v>8431.16806</v>
      </c>
    </row>
    <row r="125" spans="1:4" ht="63" x14ac:dyDescent="0.2">
      <c r="A125" s="169" t="s">
        <v>341</v>
      </c>
      <c r="B125" s="189"/>
      <c r="C125" s="175" t="s">
        <v>803</v>
      </c>
      <c r="D125" s="171">
        <v>310.5</v>
      </c>
    </row>
    <row r="126" spans="1:4" ht="110.25" x14ac:dyDescent="0.2">
      <c r="A126" s="169" t="s">
        <v>804</v>
      </c>
      <c r="B126" s="189"/>
      <c r="C126" s="170" t="s">
        <v>805</v>
      </c>
      <c r="D126" s="171">
        <v>4020.1</v>
      </c>
    </row>
    <row r="127" spans="1:4" ht="63" x14ac:dyDescent="0.2">
      <c r="A127" s="169" t="s">
        <v>95</v>
      </c>
      <c r="B127" s="189"/>
      <c r="C127" s="170" t="s">
        <v>806</v>
      </c>
      <c r="D127" s="171">
        <v>38675.944320000002</v>
      </c>
    </row>
    <row r="128" spans="1:4" ht="63" x14ac:dyDescent="0.2">
      <c r="A128" s="20" t="s">
        <v>807</v>
      </c>
      <c r="B128" s="153">
        <v>752</v>
      </c>
      <c r="C128" s="190"/>
      <c r="D128" s="191">
        <f>D129+D130</f>
        <v>5998.5020000000004</v>
      </c>
    </row>
    <row r="129" spans="1:4" ht="94.5" x14ac:dyDescent="0.2">
      <c r="A129" s="166" t="s">
        <v>808</v>
      </c>
      <c r="B129" s="167"/>
      <c r="C129" s="175" t="s">
        <v>809</v>
      </c>
      <c r="D129" s="174">
        <v>5928.5020000000004</v>
      </c>
    </row>
    <row r="130" spans="1:4" ht="47.25" x14ac:dyDescent="0.25">
      <c r="A130" s="176" t="s">
        <v>659</v>
      </c>
      <c r="B130" s="177"/>
      <c r="C130" s="168" t="s">
        <v>747</v>
      </c>
      <c r="D130" s="112">
        <v>70</v>
      </c>
    </row>
    <row r="131" spans="1:4" ht="31.5" x14ac:dyDescent="0.2">
      <c r="A131" s="20" t="s">
        <v>810</v>
      </c>
      <c r="B131" s="14" t="s">
        <v>811</v>
      </c>
      <c r="C131" s="14"/>
      <c r="D131" s="108">
        <f>D132+D133+D134</f>
        <v>2066.3035799999998</v>
      </c>
    </row>
    <row r="132" spans="1:4" ht="35.25" customHeight="1" x14ac:dyDescent="0.25">
      <c r="A132" s="166" t="s">
        <v>812</v>
      </c>
      <c r="B132" s="177"/>
      <c r="C132" s="168" t="s">
        <v>813</v>
      </c>
      <c r="D132" s="112">
        <v>568</v>
      </c>
    </row>
    <row r="133" spans="1:4" ht="47.25" x14ac:dyDescent="0.2">
      <c r="A133" s="166" t="s">
        <v>654</v>
      </c>
      <c r="B133" s="173"/>
      <c r="C133" s="173" t="s">
        <v>814</v>
      </c>
      <c r="D133" s="112">
        <v>1488.15724</v>
      </c>
    </row>
    <row r="134" spans="1:4" ht="47.25" x14ac:dyDescent="0.25">
      <c r="A134" s="166" t="s">
        <v>663</v>
      </c>
      <c r="B134" s="177"/>
      <c r="C134" s="168" t="s">
        <v>664</v>
      </c>
      <c r="D134" s="112">
        <v>10.14634</v>
      </c>
    </row>
    <row r="135" spans="1:4" ht="63" x14ac:dyDescent="0.2">
      <c r="A135" s="20" t="s">
        <v>815</v>
      </c>
      <c r="B135" s="153">
        <v>818</v>
      </c>
      <c r="C135" s="180"/>
      <c r="D135" s="108">
        <f>D136</f>
        <v>180.41632000000001</v>
      </c>
    </row>
    <row r="136" spans="1:4" ht="47.25" x14ac:dyDescent="0.25">
      <c r="A136" s="176" t="s">
        <v>659</v>
      </c>
      <c r="B136" s="177"/>
      <c r="C136" s="168" t="s">
        <v>747</v>
      </c>
      <c r="D136" s="112">
        <v>180.41632000000001</v>
      </c>
    </row>
    <row r="137" spans="1:4" ht="15.75" x14ac:dyDescent="0.25">
      <c r="A137" s="20" t="s">
        <v>549</v>
      </c>
      <c r="B137" s="192"/>
      <c r="C137" s="193"/>
      <c r="D137" s="108">
        <f>D12+D17+D19+D22+D25+D27+D32+D35+D40+D42+D45+D48+D50+D52+D73+D81+D83+D86+D89+D97+D99+D122+D128+D131+D135</f>
        <v>5222895.3426000001</v>
      </c>
    </row>
    <row r="138" spans="1:4" ht="15.75" x14ac:dyDescent="0.25">
      <c r="A138" s="149"/>
      <c r="B138" s="149"/>
      <c r="C138" s="194"/>
      <c r="D138" s="195"/>
    </row>
    <row r="139" spans="1:4" ht="15.75" x14ac:dyDescent="0.25">
      <c r="A139" s="196"/>
      <c r="B139" s="196"/>
      <c r="C139" s="197"/>
      <c r="D139" s="197"/>
    </row>
    <row r="140" spans="1:4" ht="15" x14ac:dyDescent="0.2">
      <c r="A140" s="198"/>
      <c r="B140" s="198"/>
      <c r="C140" s="198"/>
      <c r="D140" s="198"/>
    </row>
    <row r="143" spans="1:4" ht="9.75" customHeight="1" x14ac:dyDescent="0.2"/>
    <row r="144" spans="1:4" hidden="1" x14ac:dyDescent="0.2"/>
    <row r="145" hidden="1" x14ac:dyDescent="0.2"/>
    <row r="146" hidden="1" x14ac:dyDescent="0.2"/>
  </sheetData>
  <mergeCells count="9">
    <mergeCell ref="A10:A11"/>
    <mergeCell ref="B10:C10"/>
    <mergeCell ref="D10:D11"/>
    <mergeCell ref="A1:D1"/>
    <mergeCell ref="A2:D2"/>
    <mergeCell ref="A3:D3"/>
    <mergeCell ref="A5:D5"/>
    <mergeCell ref="A6:D6"/>
    <mergeCell ref="A7:D7"/>
  </mergeCells>
  <pageMargins left="0.39370078740157483" right="0.39370078740157483" top="0.39370078740157483" bottom="0.39370078740157483" header="0" footer="0"/>
  <pageSetup paperSize="9" scale="87" orientation="portrait" r:id="rId1"/>
  <headerFooter>
    <oddFooter>&amp;C&amp;P</oddFooter>
  </headerFooter>
  <rowBreaks count="2" manualBreakCount="2">
    <brk id="28" max="16383" man="1"/>
    <brk id="11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AZ1141"/>
  <sheetViews>
    <sheetView view="pageBreakPreview" zoomScale="140" zoomScaleNormal="140" zoomScaleSheetLayoutView="140" workbookViewId="0">
      <selection activeCell="A1016" sqref="A1016"/>
    </sheetView>
  </sheetViews>
  <sheetFormatPr defaultRowHeight="12.75" x14ac:dyDescent="0.2"/>
  <cols>
    <col min="1" max="1" width="74.7109375" style="1" customWidth="1"/>
    <col min="2" max="2" width="8.28515625" style="15" customWidth="1"/>
    <col min="3" max="3" width="7.7109375" style="15" customWidth="1"/>
    <col min="4" max="4" width="7" style="15" customWidth="1"/>
    <col min="5" max="5" width="13.42578125" style="15" customWidth="1"/>
    <col min="6" max="6" width="9" style="15" customWidth="1"/>
    <col min="7" max="7" width="14.140625" style="24" customWidth="1"/>
    <col min="8" max="8" width="13" style="24" customWidth="1"/>
    <col min="9" max="9" width="9.28515625" style="132" customWidth="1"/>
    <col min="10" max="52" width="9.140625" style="24"/>
  </cols>
  <sheetData>
    <row r="1" spans="1:9" ht="15" customHeight="1" x14ac:dyDescent="0.25">
      <c r="A1" s="220" t="s">
        <v>561</v>
      </c>
      <c r="B1" s="220"/>
      <c r="C1" s="220"/>
      <c r="D1" s="220"/>
      <c r="E1" s="220"/>
      <c r="F1" s="220"/>
      <c r="G1" s="220"/>
      <c r="H1" s="220"/>
      <c r="I1" s="220"/>
    </row>
    <row r="2" spans="1:9" ht="15" customHeight="1" x14ac:dyDescent="0.25">
      <c r="A2" s="220" t="s">
        <v>831</v>
      </c>
      <c r="B2" s="220"/>
      <c r="C2" s="220"/>
      <c r="D2" s="220"/>
      <c r="E2" s="220"/>
      <c r="F2" s="220"/>
      <c r="G2" s="220"/>
      <c r="H2" s="220"/>
      <c r="I2" s="220"/>
    </row>
    <row r="3" spans="1:9" ht="15" customHeight="1" x14ac:dyDescent="0.25">
      <c r="A3" s="220" t="s">
        <v>832</v>
      </c>
      <c r="B3" s="220"/>
      <c r="C3" s="220"/>
      <c r="D3" s="220"/>
      <c r="E3" s="220"/>
      <c r="F3" s="220"/>
      <c r="G3" s="220"/>
      <c r="H3" s="220"/>
      <c r="I3" s="220"/>
    </row>
    <row r="4" spans="1:9" ht="15" customHeight="1" x14ac:dyDescent="0.25">
      <c r="A4" s="129"/>
      <c r="B4" s="129"/>
      <c r="C4" s="129"/>
      <c r="D4" s="129"/>
      <c r="E4" s="129"/>
      <c r="F4" s="129"/>
      <c r="G4" s="129"/>
      <c r="H4" s="129"/>
      <c r="I4" s="129"/>
    </row>
    <row r="5" spans="1:9" ht="15.75" x14ac:dyDescent="0.25">
      <c r="A5" s="218" t="s">
        <v>204</v>
      </c>
      <c r="B5" s="218"/>
      <c r="C5" s="218"/>
      <c r="D5" s="218"/>
      <c r="E5" s="218"/>
      <c r="F5" s="218"/>
      <c r="G5" s="218"/>
      <c r="H5" s="218"/>
      <c r="I5" s="218"/>
    </row>
    <row r="6" spans="1:9" ht="15.75" x14ac:dyDescent="0.25">
      <c r="A6" s="130"/>
      <c r="B6" s="130"/>
      <c r="C6" s="130"/>
      <c r="D6" s="130"/>
      <c r="E6" s="130"/>
      <c r="F6" s="130"/>
    </row>
    <row r="7" spans="1:9" x14ac:dyDescent="0.2">
      <c r="A7" s="222" t="s">
        <v>588</v>
      </c>
      <c r="B7" s="222"/>
      <c r="C7" s="222"/>
      <c r="D7" s="222"/>
      <c r="E7" s="222"/>
      <c r="F7" s="222"/>
      <c r="G7" s="222"/>
      <c r="H7" s="222"/>
      <c r="I7" s="222"/>
    </row>
    <row r="8" spans="1:9" ht="38.25" x14ac:dyDescent="0.2">
      <c r="A8" s="2" t="s">
        <v>195</v>
      </c>
      <c r="B8" s="2" t="s">
        <v>515</v>
      </c>
      <c r="C8" s="2" t="s">
        <v>102</v>
      </c>
      <c r="D8" s="2" t="s">
        <v>101</v>
      </c>
      <c r="E8" s="2" t="s">
        <v>196</v>
      </c>
      <c r="F8" s="2" t="s">
        <v>516</v>
      </c>
      <c r="G8" s="57" t="s">
        <v>548</v>
      </c>
      <c r="H8" s="57" t="s">
        <v>639</v>
      </c>
      <c r="I8" s="148" t="s">
        <v>635</v>
      </c>
    </row>
    <row r="9" spans="1:9" ht="15.75" x14ac:dyDescent="0.25">
      <c r="A9" s="147" t="s">
        <v>197</v>
      </c>
      <c r="B9" s="146"/>
      <c r="C9" s="146"/>
      <c r="D9" s="146"/>
      <c r="E9" s="146"/>
      <c r="F9" s="146"/>
      <c r="G9" s="145">
        <f>G10+G199+G252+G305+G344+G420+G503+G575+G705+G799+G826+G858+G971+G997</f>
        <v>5384342.9679100011</v>
      </c>
      <c r="H9" s="145">
        <f>H10+H199+H252+H305+H344+H420+H503+H575+H705+H799+H826+H858+H971+H997</f>
        <v>5096037.8900600001</v>
      </c>
      <c r="I9" s="144">
        <f t="shared" ref="I9:I40" si="0">H9/G9*100</f>
        <v>94.645491946403439</v>
      </c>
    </row>
    <row r="10" spans="1:9" ht="15.75" x14ac:dyDescent="0.2">
      <c r="A10" s="63" t="s">
        <v>586</v>
      </c>
      <c r="B10" s="43">
        <v>598</v>
      </c>
      <c r="C10" s="43"/>
      <c r="D10" s="43"/>
      <c r="E10" s="43"/>
      <c r="F10" s="43"/>
      <c r="G10" s="47">
        <f>G11+G128+G140+G158+G183</f>
        <v>294612.97274999996</v>
      </c>
      <c r="H10" s="47">
        <f>H11+H128+H140+H158+H183</f>
        <v>282278.24274999998</v>
      </c>
      <c r="I10" s="143">
        <f t="shared" si="0"/>
        <v>95.813242748659661</v>
      </c>
    </row>
    <row r="11" spans="1:9" x14ac:dyDescent="0.2">
      <c r="A11" s="64" t="s">
        <v>198</v>
      </c>
      <c r="B11" s="16">
        <v>598</v>
      </c>
      <c r="C11" s="16" t="s">
        <v>165</v>
      </c>
      <c r="D11" s="16" t="s">
        <v>166</v>
      </c>
      <c r="E11" s="16"/>
      <c r="F11" s="16"/>
      <c r="G11" s="32">
        <f>G12+G18+G39+G45+G34</f>
        <v>188486.48499999999</v>
      </c>
      <c r="H11" s="32">
        <f>H12+H18+H39+H45+H34</f>
        <v>176918.78199999998</v>
      </c>
      <c r="I11" s="142">
        <f t="shared" si="0"/>
        <v>93.862847513974273</v>
      </c>
    </row>
    <row r="12" spans="1:9" ht="13.5" x14ac:dyDescent="0.2">
      <c r="A12" s="65" t="s">
        <v>163</v>
      </c>
      <c r="B12" s="17" t="s">
        <v>517</v>
      </c>
      <c r="C12" s="17" t="s">
        <v>165</v>
      </c>
      <c r="D12" s="17" t="s">
        <v>167</v>
      </c>
      <c r="E12" s="17" t="s">
        <v>290</v>
      </c>
      <c r="F12" s="17"/>
      <c r="G12" s="35">
        <f t="shared" ref="G12:H16" si="1">G13</f>
        <v>1516.2040500000001</v>
      </c>
      <c r="H12" s="35">
        <f t="shared" si="1"/>
        <v>1463.7</v>
      </c>
      <c r="I12" s="143">
        <f t="shared" si="0"/>
        <v>96.537138256555892</v>
      </c>
    </row>
    <row r="13" spans="1:9" x14ac:dyDescent="0.2">
      <c r="A13" s="66" t="s">
        <v>381</v>
      </c>
      <c r="B13" s="16" t="s">
        <v>517</v>
      </c>
      <c r="C13" s="16" t="s">
        <v>165</v>
      </c>
      <c r="D13" s="16" t="s">
        <v>167</v>
      </c>
      <c r="E13" s="16" t="s">
        <v>291</v>
      </c>
      <c r="F13" s="16"/>
      <c r="G13" s="32">
        <f t="shared" si="1"/>
        <v>1516.2040500000001</v>
      </c>
      <c r="H13" s="32">
        <f t="shared" si="1"/>
        <v>1463.7</v>
      </c>
      <c r="I13" s="142">
        <f t="shared" si="0"/>
        <v>96.537138256555892</v>
      </c>
    </row>
    <row r="14" spans="1:9" ht="24" x14ac:dyDescent="0.2">
      <c r="A14" s="67" t="s">
        <v>398</v>
      </c>
      <c r="B14" s="17">
        <v>598</v>
      </c>
      <c r="C14" s="17" t="s">
        <v>165</v>
      </c>
      <c r="D14" s="17" t="s">
        <v>167</v>
      </c>
      <c r="E14" s="17" t="s">
        <v>291</v>
      </c>
      <c r="F14" s="25"/>
      <c r="G14" s="35">
        <f t="shared" si="1"/>
        <v>1516.2040500000001</v>
      </c>
      <c r="H14" s="35">
        <f t="shared" si="1"/>
        <v>1463.7</v>
      </c>
      <c r="I14" s="141">
        <f t="shared" si="0"/>
        <v>96.537138256555892</v>
      </c>
    </row>
    <row r="15" spans="1:9" x14ac:dyDescent="0.2">
      <c r="A15" s="66" t="s">
        <v>380</v>
      </c>
      <c r="B15" s="16">
        <v>598</v>
      </c>
      <c r="C15" s="16" t="s">
        <v>165</v>
      </c>
      <c r="D15" s="16" t="s">
        <v>167</v>
      </c>
      <c r="E15" s="16" t="s">
        <v>292</v>
      </c>
      <c r="F15" s="16"/>
      <c r="G15" s="32">
        <f t="shared" si="1"/>
        <v>1516.2040500000001</v>
      </c>
      <c r="H15" s="32">
        <f t="shared" si="1"/>
        <v>1463.7</v>
      </c>
      <c r="I15" s="140">
        <f t="shared" si="0"/>
        <v>96.537138256555892</v>
      </c>
    </row>
    <row r="16" spans="1:9" ht="36" x14ac:dyDescent="0.2">
      <c r="A16" s="68" t="s">
        <v>168</v>
      </c>
      <c r="B16" s="22" t="s">
        <v>517</v>
      </c>
      <c r="C16" s="22" t="s">
        <v>165</v>
      </c>
      <c r="D16" s="22" t="s">
        <v>167</v>
      </c>
      <c r="E16" s="22" t="s">
        <v>292</v>
      </c>
      <c r="F16" s="22" t="s">
        <v>169</v>
      </c>
      <c r="G16" s="31">
        <f t="shared" si="1"/>
        <v>1516.2040500000001</v>
      </c>
      <c r="H16" s="31">
        <f t="shared" si="1"/>
        <v>1463.7</v>
      </c>
      <c r="I16" s="137">
        <f t="shared" si="0"/>
        <v>96.537138256555892</v>
      </c>
    </row>
    <row r="17" spans="1:9" x14ac:dyDescent="0.2">
      <c r="A17" s="68" t="s">
        <v>170</v>
      </c>
      <c r="B17" s="22" t="s">
        <v>517</v>
      </c>
      <c r="C17" s="22" t="s">
        <v>165</v>
      </c>
      <c r="D17" s="22" t="s">
        <v>167</v>
      </c>
      <c r="E17" s="22" t="s">
        <v>292</v>
      </c>
      <c r="F17" s="22" t="s">
        <v>173</v>
      </c>
      <c r="G17" s="31">
        <f>1800-328+44.20405</f>
        <v>1516.2040500000001</v>
      </c>
      <c r="H17" s="138">
        <v>1463.7</v>
      </c>
      <c r="I17" s="137">
        <f t="shared" si="0"/>
        <v>96.537138256555892</v>
      </c>
    </row>
    <row r="18" spans="1:9" ht="24" customHeight="1" x14ac:dyDescent="0.2">
      <c r="A18" s="64" t="s">
        <v>397</v>
      </c>
      <c r="B18" s="16">
        <v>598</v>
      </c>
      <c r="C18" s="16" t="s">
        <v>165</v>
      </c>
      <c r="D18" s="16" t="s">
        <v>167</v>
      </c>
      <c r="E18" s="16"/>
      <c r="F18" s="16"/>
      <c r="G18" s="32">
        <f>G19</f>
        <v>82916.650949999996</v>
      </c>
      <c r="H18" s="32">
        <f>H19</f>
        <v>79541.7</v>
      </c>
      <c r="I18" s="32">
        <f t="shared" si="0"/>
        <v>95.929706625470018</v>
      </c>
    </row>
    <row r="19" spans="1:9" x14ac:dyDescent="0.2">
      <c r="A19" s="65" t="s">
        <v>163</v>
      </c>
      <c r="B19" s="17" t="s">
        <v>517</v>
      </c>
      <c r="C19" s="17" t="s">
        <v>165</v>
      </c>
      <c r="D19" s="17" t="s">
        <v>167</v>
      </c>
      <c r="E19" s="17" t="s">
        <v>293</v>
      </c>
      <c r="F19" s="17"/>
      <c r="G19" s="35">
        <f>G20</f>
        <v>82916.650949999996</v>
      </c>
      <c r="H19" s="35">
        <f>H20</f>
        <v>79541.7</v>
      </c>
      <c r="I19" s="35">
        <f t="shared" si="0"/>
        <v>95.929706625470018</v>
      </c>
    </row>
    <row r="20" spans="1:9" x14ac:dyDescent="0.2">
      <c r="A20" s="66" t="s">
        <v>381</v>
      </c>
      <c r="B20" s="16" t="s">
        <v>517</v>
      </c>
      <c r="C20" s="16" t="s">
        <v>165</v>
      </c>
      <c r="D20" s="16" t="s">
        <v>167</v>
      </c>
      <c r="E20" s="16" t="s">
        <v>294</v>
      </c>
      <c r="F20" s="17"/>
      <c r="G20" s="32">
        <f>G21+G26+G31</f>
        <v>82916.650949999996</v>
      </c>
      <c r="H20" s="32">
        <f>H21+H26+H31</f>
        <v>79541.7</v>
      </c>
      <c r="I20" s="32">
        <f t="shared" si="0"/>
        <v>95.929706625470018</v>
      </c>
    </row>
    <row r="21" spans="1:9" x14ac:dyDescent="0.2">
      <c r="A21" s="66" t="s">
        <v>96</v>
      </c>
      <c r="B21" s="16" t="s">
        <v>517</v>
      </c>
      <c r="C21" s="16" t="s">
        <v>165</v>
      </c>
      <c r="D21" s="16" t="s">
        <v>167</v>
      </c>
      <c r="E21" s="16" t="s">
        <v>295</v>
      </c>
      <c r="F21" s="16"/>
      <c r="G21" s="32">
        <f>G22+G24</f>
        <v>64683.79595</v>
      </c>
      <c r="H21" s="32">
        <f>H22+H24</f>
        <v>64063.9</v>
      </c>
      <c r="I21" s="32">
        <f t="shared" si="0"/>
        <v>99.041651868299169</v>
      </c>
    </row>
    <row r="22" spans="1:9" ht="36" x14ac:dyDescent="0.2">
      <c r="A22" s="68" t="s">
        <v>168</v>
      </c>
      <c r="B22" s="22" t="s">
        <v>517</v>
      </c>
      <c r="C22" s="22" t="s">
        <v>165</v>
      </c>
      <c r="D22" s="22" t="s">
        <v>167</v>
      </c>
      <c r="E22" s="22" t="s">
        <v>295</v>
      </c>
      <c r="F22" s="22" t="s">
        <v>169</v>
      </c>
      <c r="G22" s="31">
        <f>G23</f>
        <v>64490.393909999999</v>
      </c>
      <c r="H22" s="31">
        <f>H23</f>
        <v>63870.5</v>
      </c>
      <c r="I22" s="31">
        <f t="shared" si="0"/>
        <v>99.038781014634367</v>
      </c>
    </row>
    <row r="23" spans="1:9" x14ac:dyDescent="0.2">
      <c r="A23" s="68" t="s">
        <v>170</v>
      </c>
      <c r="B23" s="22" t="s">
        <v>517</v>
      </c>
      <c r="C23" s="22" t="s">
        <v>165</v>
      </c>
      <c r="D23" s="22" t="s">
        <v>167</v>
      </c>
      <c r="E23" s="22" t="s">
        <v>295</v>
      </c>
      <c r="F23" s="22" t="s">
        <v>173</v>
      </c>
      <c r="G23" s="31">
        <f>63340-62+900+328+28.59796-44.20405</f>
        <v>64490.393909999999</v>
      </c>
      <c r="H23" s="139">
        <v>63870.5</v>
      </c>
      <c r="I23" s="137">
        <f t="shared" si="0"/>
        <v>99.038781014634367</v>
      </c>
    </row>
    <row r="24" spans="1:9" x14ac:dyDescent="0.2">
      <c r="A24" s="68" t="s">
        <v>186</v>
      </c>
      <c r="B24" s="22" t="s">
        <v>517</v>
      </c>
      <c r="C24" s="22" t="s">
        <v>165</v>
      </c>
      <c r="D24" s="22" t="s">
        <v>167</v>
      </c>
      <c r="E24" s="22" t="s">
        <v>295</v>
      </c>
      <c r="F24" s="22" t="s">
        <v>185</v>
      </c>
      <c r="G24" s="31">
        <f>G25</f>
        <v>193.40204</v>
      </c>
      <c r="H24" s="31">
        <f>H25</f>
        <v>193.4</v>
      </c>
      <c r="I24" s="31">
        <f t="shared" si="0"/>
        <v>99.998945202439444</v>
      </c>
    </row>
    <row r="25" spans="1:9" x14ac:dyDescent="0.2">
      <c r="A25" s="68" t="s">
        <v>187</v>
      </c>
      <c r="B25" s="22" t="s">
        <v>517</v>
      </c>
      <c r="C25" s="22" t="s">
        <v>165</v>
      </c>
      <c r="D25" s="22" t="s">
        <v>167</v>
      </c>
      <c r="E25" s="22" t="s">
        <v>295</v>
      </c>
      <c r="F25" s="22" t="s">
        <v>188</v>
      </c>
      <c r="G25" s="31">
        <f>160+62-28.59796</f>
        <v>193.40204</v>
      </c>
      <c r="H25" s="138">
        <v>193.4</v>
      </c>
      <c r="I25" s="31">
        <f t="shared" si="0"/>
        <v>99.998945202439444</v>
      </c>
    </row>
    <row r="26" spans="1:9" x14ac:dyDescent="0.2">
      <c r="A26" s="64" t="s">
        <v>174</v>
      </c>
      <c r="B26" s="16" t="s">
        <v>517</v>
      </c>
      <c r="C26" s="16" t="s">
        <v>165</v>
      </c>
      <c r="D26" s="16" t="s">
        <v>167</v>
      </c>
      <c r="E26" s="16" t="s">
        <v>296</v>
      </c>
      <c r="F26" s="16"/>
      <c r="G26" s="32">
        <f>G27+G29</f>
        <v>17146.654999999999</v>
      </c>
      <c r="H26" s="32">
        <f>H27+H29</f>
        <v>14391.6</v>
      </c>
      <c r="I26" s="32">
        <f t="shared" si="0"/>
        <v>83.932405475003733</v>
      </c>
    </row>
    <row r="27" spans="1:9" x14ac:dyDescent="0.2">
      <c r="A27" s="68" t="s">
        <v>378</v>
      </c>
      <c r="B27" s="22" t="s">
        <v>517</v>
      </c>
      <c r="C27" s="22" t="s">
        <v>165</v>
      </c>
      <c r="D27" s="22" t="s">
        <v>167</v>
      </c>
      <c r="E27" s="22" t="s">
        <v>296</v>
      </c>
      <c r="F27" s="22" t="s">
        <v>175</v>
      </c>
      <c r="G27" s="31">
        <f>G28</f>
        <v>15986.655000000001</v>
      </c>
      <c r="H27" s="31">
        <f>H28</f>
        <v>13420.2</v>
      </c>
      <c r="I27" s="31">
        <f t="shared" si="0"/>
        <v>83.946266432846656</v>
      </c>
    </row>
    <row r="28" spans="1:9" ht="15" customHeight="1" x14ac:dyDescent="0.2">
      <c r="A28" s="68" t="s">
        <v>176</v>
      </c>
      <c r="B28" s="22" t="s">
        <v>517</v>
      </c>
      <c r="C28" s="22" t="s">
        <v>165</v>
      </c>
      <c r="D28" s="22" t="s">
        <v>167</v>
      </c>
      <c r="E28" s="22" t="s">
        <v>296</v>
      </c>
      <c r="F28" s="22" t="s">
        <v>177</v>
      </c>
      <c r="G28" s="31">
        <v>15986.655000000001</v>
      </c>
      <c r="H28" s="31">
        <v>13420.2</v>
      </c>
      <c r="I28" s="31">
        <f t="shared" si="0"/>
        <v>83.946266432846656</v>
      </c>
    </row>
    <row r="29" spans="1:9" x14ac:dyDescent="0.2">
      <c r="A29" s="68" t="s">
        <v>178</v>
      </c>
      <c r="B29" s="22" t="s">
        <v>517</v>
      </c>
      <c r="C29" s="22" t="s">
        <v>165</v>
      </c>
      <c r="D29" s="22" t="s">
        <v>167</v>
      </c>
      <c r="E29" s="22" t="s">
        <v>296</v>
      </c>
      <c r="F29" s="22" t="s">
        <v>179</v>
      </c>
      <c r="G29" s="31">
        <f>G30</f>
        <v>1160</v>
      </c>
      <c r="H29" s="31">
        <f>H30</f>
        <v>971.4</v>
      </c>
      <c r="I29" s="31">
        <f t="shared" si="0"/>
        <v>83.741379310344826</v>
      </c>
    </row>
    <row r="30" spans="1:9" x14ac:dyDescent="0.2">
      <c r="A30" s="68" t="s">
        <v>87</v>
      </c>
      <c r="B30" s="22" t="s">
        <v>517</v>
      </c>
      <c r="C30" s="22" t="s">
        <v>165</v>
      </c>
      <c r="D30" s="22" t="s">
        <v>167</v>
      </c>
      <c r="E30" s="22" t="s">
        <v>296</v>
      </c>
      <c r="F30" s="22" t="s">
        <v>180</v>
      </c>
      <c r="G30" s="31">
        <f>660+500</f>
        <v>1160</v>
      </c>
      <c r="H30" s="31">
        <v>971.4</v>
      </c>
      <c r="I30" s="31">
        <f t="shared" si="0"/>
        <v>83.741379310344826</v>
      </c>
    </row>
    <row r="31" spans="1:9" ht="24" x14ac:dyDescent="0.2">
      <c r="A31" s="64" t="s">
        <v>632</v>
      </c>
      <c r="B31" s="16" t="s">
        <v>517</v>
      </c>
      <c r="C31" s="16" t="s">
        <v>165</v>
      </c>
      <c r="D31" s="16" t="s">
        <v>167</v>
      </c>
      <c r="E31" s="16" t="s">
        <v>633</v>
      </c>
      <c r="F31" s="16"/>
      <c r="G31" s="32">
        <f>G32</f>
        <v>1086.2</v>
      </c>
      <c r="H31" s="32">
        <f>H32</f>
        <v>1086.2</v>
      </c>
      <c r="I31" s="32">
        <f t="shared" si="0"/>
        <v>100</v>
      </c>
    </row>
    <row r="32" spans="1:9" ht="36" x14ac:dyDescent="0.2">
      <c r="A32" s="68" t="s">
        <v>168</v>
      </c>
      <c r="B32" s="22" t="s">
        <v>517</v>
      </c>
      <c r="C32" s="22" t="s">
        <v>165</v>
      </c>
      <c r="D32" s="22" t="s">
        <v>167</v>
      </c>
      <c r="E32" s="22" t="s">
        <v>633</v>
      </c>
      <c r="F32" s="22" t="s">
        <v>169</v>
      </c>
      <c r="G32" s="31">
        <f>G33</f>
        <v>1086.2</v>
      </c>
      <c r="H32" s="31">
        <f>H33</f>
        <v>1086.2</v>
      </c>
      <c r="I32" s="31">
        <f t="shared" si="0"/>
        <v>100</v>
      </c>
    </row>
    <row r="33" spans="1:9" x14ac:dyDescent="0.2">
      <c r="A33" s="68" t="s">
        <v>170</v>
      </c>
      <c r="B33" s="22" t="s">
        <v>517</v>
      </c>
      <c r="C33" s="22" t="s">
        <v>165</v>
      </c>
      <c r="D33" s="22" t="s">
        <v>167</v>
      </c>
      <c r="E33" s="22" t="s">
        <v>633</v>
      </c>
      <c r="F33" s="22" t="s">
        <v>173</v>
      </c>
      <c r="G33" s="31">
        <v>1086.2</v>
      </c>
      <c r="H33" s="31">
        <v>1086.2</v>
      </c>
      <c r="I33" s="137">
        <f t="shared" si="0"/>
        <v>100</v>
      </c>
    </row>
    <row r="34" spans="1:9" x14ac:dyDescent="0.2">
      <c r="A34" s="50" t="s">
        <v>207</v>
      </c>
      <c r="B34" s="16" t="s">
        <v>517</v>
      </c>
      <c r="C34" s="16" t="s">
        <v>165</v>
      </c>
      <c r="D34" s="16" t="s">
        <v>598</v>
      </c>
      <c r="E34" s="16"/>
      <c r="F34" s="16"/>
      <c r="G34" s="32">
        <f t="shared" ref="G34:H37" si="2">G35</f>
        <v>8877.4</v>
      </c>
      <c r="H34" s="32">
        <f t="shared" si="2"/>
        <v>8877.4</v>
      </c>
      <c r="I34" s="32">
        <f t="shared" si="0"/>
        <v>100</v>
      </c>
    </row>
    <row r="35" spans="1:9" x14ac:dyDescent="0.2">
      <c r="A35" s="51" t="s">
        <v>211</v>
      </c>
      <c r="B35" s="17" t="s">
        <v>517</v>
      </c>
      <c r="C35" s="17" t="s">
        <v>165</v>
      </c>
      <c r="D35" s="17" t="s">
        <v>598</v>
      </c>
      <c r="E35" s="17" t="s">
        <v>293</v>
      </c>
      <c r="F35" s="17"/>
      <c r="G35" s="35">
        <f t="shared" si="2"/>
        <v>8877.4</v>
      </c>
      <c r="H35" s="35">
        <f t="shared" si="2"/>
        <v>8877.4</v>
      </c>
      <c r="I35" s="35">
        <f t="shared" si="0"/>
        <v>100</v>
      </c>
    </row>
    <row r="36" spans="1:9" x14ac:dyDescent="0.2">
      <c r="A36" s="50" t="s">
        <v>381</v>
      </c>
      <c r="B36" s="16" t="s">
        <v>517</v>
      </c>
      <c r="C36" s="16" t="s">
        <v>165</v>
      </c>
      <c r="D36" s="16" t="s">
        <v>598</v>
      </c>
      <c r="E36" s="16" t="s">
        <v>294</v>
      </c>
      <c r="F36" s="16"/>
      <c r="G36" s="32">
        <f t="shared" si="2"/>
        <v>8877.4</v>
      </c>
      <c r="H36" s="32">
        <f t="shared" si="2"/>
        <v>8877.4</v>
      </c>
      <c r="I36" s="32">
        <f t="shared" si="0"/>
        <v>100</v>
      </c>
    </row>
    <row r="37" spans="1:9" x14ac:dyDescent="0.2">
      <c r="A37" s="52" t="s">
        <v>178</v>
      </c>
      <c r="B37" s="22" t="s">
        <v>517</v>
      </c>
      <c r="C37" s="22" t="s">
        <v>165</v>
      </c>
      <c r="D37" s="22" t="s">
        <v>598</v>
      </c>
      <c r="E37" s="22" t="s">
        <v>436</v>
      </c>
      <c r="F37" s="22" t="s">
        <v>179</v>
      </c>
      <c r="G37" s="31">
        <f t="shared" si="2"/>
        <v>8877.4</v>
      </c>
      <c r="H37" s="31">
        <f t="shared" si="2"/>
        <v>8877.4</v>
      </c>
      <c r="I37" s="31">
        <f t="shared" si="0"/>
        <v>100</v>
      </c>
    </row>
    <row r="38" spans="1:9" x14ac:dyDescent="0.2">
      <c r="A38" s="52" t="s">
        <v>208</v>
      </c>
      <c r="B38" s="22" t="s">
        <v>517</v>
      </c>
      <c r="C38" s="22" t="s">
        <v>165</v>
      </c>
      <c r="D38" s="22" t="s">
        <v>598</v>
      </c>
      <c r="E38" s="22" t="s">
        <v>436</v>
      </c>
      <c r="F38" s="22" t="s">
        <v>209</v>
      </c>
      <c r="G38" s="31">
        <f>550+8327.4</f>
        <v>8877.4</v>
      </c>
      <c r="H38" s="31">
        <v>8877.4</v>
      </c>
      <c r="I38" s="31">
        <f t="shared" si="0"/>
        <v>100</v>
      </c>
    </row>
    <row r="39" spans="1:9" x14ac:dyDescent="0.2">
      <c r="A39" s="64" t="s">
        <v>404</v>
      </c>
      <c r="B39" s="16">
        <v>598</v>
      </c>
      <c r="C39" s="16" t="s">
        <v>165</v>
      </c>
      <c r="D39" s="16" t="s">
        <v>181</v>
      </c>
      <c r="E39" s="16"/>
      <c r="F39" s="16"/>
      <c r="G39" s="32">
        <f t="shared" ref="G39:H43" si="3">G40</f>
        <v>1086</v>
      </c>
      <c r="H39" s="135">
        <f t="shared" si="3"/>
        <v>0</v>
      </c>
      <c r="I39" s="135">
        <f t="shared" si="0"/>
        <v>0</v>
      </c>
    </row>
    <row r="40" spans="1:9" s="38" customFormat="1" x14ac:dyDescent="0.2">
      <c r="A40" s="65" t="s">
        <v>163</v>
      </c>
      <c r="B40" s="17">
        <v>598</v>
      </c>
      <c r="C40" s="17" t="s">
        <v>165</v>
      </c>
      <c r="D40" s="17" t="s">
        <v>181</v>
      </c>
      <c r="E40" s="17" t="s">
        <v>293</v>
      </c>
      <c r="F40" s="17"/>
      <c r="G40" s="35">
        <f t="shared" si="3"/>
        <v>1086</v>
      </c>
      <c r="H40" s="136">
        <f t="shared" si="3"/>
        <v>0</v>
      </c>
      <c r="I40" s="136">
        <f t="shared" si="0"/>
        <v>0</v>
      </c>
    </row>
    <row r="41" spans="1:9" s="38" customFormat="1" x14ac:dyDescent="0.2">
      <c r="A41" s="66" t="s">
        <v>381</v>
      </c>
      <c r="B41" s="16" t="s">
        <v>517</v>
      </c>
      <c r="C41" s="16" t="s">
        <v>165</v>
      </c>
      <c r="D41" s="16" t="s">
        <v>181</v>
      </c>
      <c r="E41" s="16" t="s">
        <v>294</v>
      </c>
      <c r="F41" s="16"/>
      <c r="G41" s="32">
        <f t="shared" si="3"/>
        <v>1086</v>
      </c>
      <c r="H41" s="135">
        <f t="shared" si="3"/>
        <v>0</v>
      </c>
      <c r="I41" s="135">
        <f t="shared" ref="I41:I72" si="4">H41/G41*100</f>
        <v>0</v>
      </c>
    </row>
    <row r="42" spans="1:9" s="39" customFormat="1" x14ac:dyDescent="0.2">
      <c r="A42" s="68" t="s">
        <v>182</v>
      </c>
      <c r="B42" s="22">
        <v>598</v>
      </c>
      <c r="C42" s="22" t="s">
        <v>165</v>
      </c>
      <c r="D42" s="22" t="s">
        <v>181</v>
      </c>
      <c r="E42" s="22" t="s">
        <v>408</v>
      </c>
      <c r="F42" s="22"/>
      <c r="G42" s="31">
        <f t="shared" si="3"/>
        <v>1086</v>
      </c>
      <c r="H42" s="133">
        <f t="shared" si="3"/>
        <v>0</v>
      </c>
      <c r="I42" s="133">
        <f t="shared" si="4"/>
        <v>0</v>
      </c>
    </row>
    <row r="43" spans="1:9" s="39" customFormat="1" x14ac:dyDescent="0.2">
      <c r="A43" s="68" t="s">
        <v>178</v>
      </c>
      <c r="B43" s="22">
        <v>598</v>
      </c>
      <c r="C43" s="22" t="s">
        <v>165</v>
      </c>
      <c r="D43" s="22" t="s">
        <v>181</v>
      </c>
      <c r="E43" s="22" t="s">
        <v>408</v>
      </c>
      <c r="F43" s="22" t="s">
        <v>179</v>
      </c>
      <c r="G43" s="31">
        <f t="shared" si="3"/>
        <v>1086</v>
      </c>
      <c r="H43" s="133">
        <f t="shared" si="3"/>
        <v>0</v>
      </c>
      <c r="I43" s="133">
        <f t="shared" si="4"/>
        <v>0</v>
      </c>
    </row>
    <row r="44" spans="1:9" s="39" customFormat="1" x14ac:dyDescent="0.2">
      <c r="A44" s="68" t="s">
        <v>183</v>
      </c>
      <c r="B44" s="22">
        <v>598</v>
      </c>
      <c r="C44" s="22" t="s">
        <v>165</v>
      </c>
      <c r="D44" s="22" t="s">
        <v>181</v>
      </c>
      <c r="E44" s="22" t="s">
        <v>408</v>
      </c>
      <c r="F44" s="22" t="s">
        <v>547</v>
      </c>
      <c r="G44" s="31">
        <f>3000-150-50-80-50-770-414-185-215</f>
        <v>1086</v>
      </c>
      <c r="H44" s="133">
        <v>0</v>
      </c>
      <c r="I44" s="133">
        <f t="shared" si="4"/>
        <v>0</v>
      </c>
    </row>
    <row r="45" spans="1:9" x14ac:dyDescent="0.2">
      <c r="A45" s="64" t="s">
        <v>405</v>
      </c>
      <c r="B45" s="16" t="s">
        <v>517</v>
      </c>
      <c r="C45" s="16" t="s">
        <v>165</v>
      </c>
      <c r="D45" s="16" t="s">
        <v>184</v>
      </c>
      <c r="E45" s="16"/>
      <c r="F45" s="16"/>
      <c r="G45" s="32">
        <f>G46+G80+G124</f>
        <v>94090.23</v>
      </c>
      <c r="H45" s="32">
        <f>H46+H80+H124</f>
        <v>87035.982000000004</v>
      </c>
      <c r="I45" s="32">
        <f t="shared" si="4"/>
        <v>92.502677483092569</v>
      </c>
    </row>
    <row r="46" spans="1:9" x14ac:dyDescent="0.2">
      <c r="A46" s="65" t="s">
        <v>163</v>
      </c>
      <c r="B46" s="17">
        <v>598</v>
      </c>
      <c r="C46" s="17" t="s">
        <v>165</v>
      </c>
      <c r="D46" s="17" t="s">
        <v>184</v>
      </c>
      <c r="E46" s="17" t="s">
        <v>293</v>
      </c>
      <c r="F46" s="17"/>
      <c r="G46" s="35">
        <f>G47</f>
        <v>78832.23</v>
      </c>
      <c r="H46" s="35">
        <f>H47</f>
        <v>73305.694999999992</v>
      </c>
      <c r="I46" s="35">
        <f t="shared" si="4"/>
        <v>92.989498077118952</v>
      </c>
    </row>
    <row r="47" spans="1:9" x14ac:dyDescent="0.2">
      <c r="A47" s="64" t="s">
        <v>381</v>
      </c>
      <c r="B47" s="16" t="s">
        <v>517</v>
      </c>
      <c r="C47" s="16" t="s">
        <v>165</v>
      </c>
      <c r="D47" s="16" t="s">
        <v>184</v>
      </c>
      <c r="E47" s="16" t="s">
        <v>294</v>
      </c>
      <c r="F47" s="16"/>
      <c r="G47" s="32">
        <f>G48+G73+G76</f>
        <v>78832.23</v>
      </c>
      <c r="H47" s="32">
        <f>H48+H73+H76</f>
        <v>73305.694999999992</v>
      </c>
      <c r="I47" s="32">
        <f t="shared" si="4"/>
        <v>92.989498077118952</v>
      </c>
    </row>
    <row r="48" spans="1:9" x14ac:dyDescent="0.2">
      <c r="A48" s="69" t="s">
        <v>593</v>
      </c>
      <c r="B48" s="25" t="s">
        <v>517</v>
      </c>
      <c r="C48" s="25" t="s">
        <v>165</v>
      </c>
      <c r="D48" s="25" t="s">
        <v>184</v>
      </c>
      <c r="E48" s="25" t="s">
        <v>294</v>
      </c>
      <c r="F48" s="17"/>
      <c r="G48" s="85">
        <f>G49+G56+G70+G63</f>
        <v>52177.2</v>
      </c>
      <c r="H48" s="85">
        <f>H49+H56+H70+H63</f>
        <v>51573.417999999998</v>
      </c>
      <c r="I48" s="85">
        <f t="shared" si="4"/>
        <v>98.842824068750332</v>
      </c>
    </row>
    <row r="49" spans="1:9" ht="24" x14ac:dyDescent="0.2">
      <c r="A49" s="64" t="s">
        <v>260</v>
      </c>
      <c r="B49" s="16" t="s">
        <v>517</v>
      </c>
      <c r="C49" s="16" t="s">
        <v>165</v>
      </c>
      <c r="D49" s="16" t="s">
        <v>184</v>
      </c>
      <c r="E49" s="16" t="s">
        <v>409</v>
      </c>
      <c r="F49" s="16"/>
      <c r="G49" s="32">
        <f>G50+G52+G54</f>
        <v>41147.199999999997</v>
      </c>
      <c r="H49" s="32">
        <f>H50+H52+H54</f>
        <v>40880.04</v>
      </c>
      <c r="I49" s="32">
        <f t="shared" si="4"/>
        <v>99.350721312750338</v>
      </c>
    </row>
    <row r="50" spans="1:9" ht="36" x14ac:dyDescent="0.2">
      <c r="A50" s="68" t="s">
        <v>168</v>
      </c>
      <c r="B50" s="22" t="s">
        <v>517</v>
      </c>
      <c r="C50" s="22" t="s">
        <v>165</v>
      </c>
      <c r="D50" s="22" t="s">
        <v>184</v>
      </c>
      <c r="E50" s="22" t="s">
        <v>409</v>
      </c>
      <c r="F50" s="22" t="s">
        <v>169</v>
      </c>
      <c r="G50" s="31">
        <f>G51</f>
        <v>33312.261899999998</v>
      </c>
      <c r="H50" s="31">
        <f>H51</f>
        <v>33309.54</v>
      </c>
      <c r="I50" s="31">
        <f t="shared" si="4"/>
        <v>99.991829134844807</v>
      </c>
    </row>
    <row r="51" spans="1:9" x14ac:dyDescent="0.2">
      <c r="A51" s="68" t="s">
        <v>594</v>
      </c>
      <c r="B51" s="22" t="s">
        <v>517</v>
      </c>
      <c r="C51" s="22" t="s">
        <v>165</v>
      </c>
      <c r="D51" s="22" t="s">
        <v>184</v>
      </c>
      <c r="E51" s="22" t="s">
        <v>409</v>
      </c>
      <c r="F51" s="22" t="s">
        <v>595</v>
      </c>
      <c r="G51" s="31">
        <f>35644-460-2200-1000+855.0619+473.2</f>
        <v>33312.261899999998</v>
      </c>
      <c r="H51" s="31">
        <v>33309.54</v>
      </c>
      <c r="I51" s="31">
        <f t="shared" si="4"/>
        <v>99.991829134844807</v>
      </c>
    </row>
    <row r="52" spans="1:9" x14ac:dyDescent="0.2">
      <c r="A52" s="68" t="s">
        <v>378</v>
      </c>
      <c r="B52" s="22" t="s">
        <v>517</v>
      </c>
      <c r="C52" s="22" t="s">
        <v>165</v>
      </c>
      <c r="D52" s="22" t="s">
        <v>184</v>
      </c>
      <c r="E52" s="22" t="s">
        <v>409</v>
      </c>
      <c r="F52" s="22" t="s">
        <v>175</v>
      </c>
      <c r="G52" s="31">
        <f>G53</f>
        <v>7754.9381000000003</v>
      </c>
      <c r="H52" s="31">
        <f>H53</f>
        <v>7530.3</v>
      </c>
      <c r="I52" s="31">
        <f t="shared" si="4"/>
        <v>97.103289580093488</v>
      </c>
    </row>
    <row r="53" spans="1:9" ht="15" customHeight="1" x14ac:dyDescent="0.2">
      <c r="A53" s="68" t="s">
        <v>176</v>
      </c>
      <c r="B53" s="22" t="s">
        <v>517</v>
      </c>
      <c r="C53" s="22" t="s">
        <v>165</v>
      </c>
      <c r="D53" s="22" t="s">
        <v>184</v>
      </c>
      <c r="E53" s="22" t="s">
        <v>409</v>
      </c>
      <c r="F53" s="22" t="s">
        <v>177</v>
      </c>
      <c r="G53" s="31">
        <f>5780+460+2200-685.0619</f>
        <v>7754.9381000000003</v>
      </c>
      <c r="H53" s="31">
        <v>7530.3</v>
      </c>
      <c r="I53" s="31">
        <f t="shared" si="4"/>
        <v>97.103289580093488</v>
      </c>
    </row>
    <row r="54" spans="1:9" x14ac:dyDescent="0.2">
      <c r="A54" s="68" t="s">
        <v>178</v>
      </c>
      <c r="B54" s="22" t="s">
        <v>517</v>
      </c>
      <c r="C54" s="22" t="s">
        <v>165</v>
      </c>
      <c r="D54" s="22" t="s">
        <v>184</v>
      </c>
      <c r="E54" s="22" t="s">
        <v>409</v>
      </c>
      <c r="F54" s="22" t="s">
        <v>179</v>
      </c>
      <c r="G54" s="31">
        <f>G55</f>
        <v>80</v>
      </c>
      <c r="H54" s="31">
        <f>H55</f>
        <v>40.200000000000003</v>
      </c>
      <c r="I54" s="31">
        <f t="shared" si="4"/>
        <v>50.250000000000007</v>
      </c>
    </row>
    <row r="55" spans="1:9" x14ac:dyDescent="0.2">
      <c r="A55" s="68" t="s">
        <v>87</v>
      </c>
      <c r="B55" s="22" t="s">
        <v>517</v>
      </c>
      <c r="C55" s="22" t="s">
        <v>165</v>
      </c>
      <c r="D55" s="22" t="s">
        <v>184</v>
      </c>
      <c r="E55" s="22" t="s">
        <v>409</v>
      </c>
      <c r="F55" s="22" t="s">
        <v>180</v>
      </c>
      <c r="G55" s="31">
        <f>250-170</f>
        <v>80</v>
      </c>
      <c r="H55" s="31">
        <v>40.200000000000003</v>
      </c>
      <c r="I55" s="31">
        <f t="shared" si="4"/>
        <v>50.250000000000007</v>
      </c>
    </row>
    <row r="56" spans="1:9" x14ac:dyDescent="0.2">
      <c r="A56" s="64" t="s">
        <v>109</v>
      </c>
      <c r="B56" s="16" t="s">
        <v>517</v>
      </c>
      <c r="C56" s="16" t="s">
        <v>165</v>
      </c>
      <c r="D56" s="16" t="s">
        <v>184</v>
      </c>
      <c r="E56" s="16" t="s">
        <v>415</v>
      </c>
      <c r="F56" s="16"/>
      <c r="G56" s="32">
        <f>G57+G59+G61</f>
        <v>925</v>
      </c>
      <c r="H56" s="32">
        <f>H57+H59+H61</f>
        <v>765.35</v>
      </c>
      <c r="I56" s="32">
        <f t="shared" si="4"/>
        <v>82.740540540540536</v>
      </c>
    </row>
    <row r="57" spans="1:9" ht="36" x14ac:dyDescent="0.2">
      <c r="A57" s="68" t="s">
        <v>168</v>
      </c>
      <c r="B57" s="22" t="s">
        <v>517</v>
      </c>
      <c r="C57" s="22" t="s">
        <v>165</v>
      </c>
      <c r="D57" s="22" t="s">
        <v>184</v>
      </c>
      <c r="E57" s="22" t="s">
        <v>415</v>
      </c>
      <c r="F57" s="22" t="s">
        <v>169</v>
      </c>
      <c r="G57" s="31">
        <f>G58</f>
        <v>715</v>
      </c>
      <c r="H57" s="31">
        <f>H58</f>
        <v>665.82</v>
      </c>
      <c r="I57" s="31">
        <f t="shared" si="4"/>
        <v>93.121678321678331</v>
      </c>
    </row>
    <row r="58" spans="1:9" x14ac:dyDescent="0.2">
      <c r="A58" s="68" t="s">
        <v>594</v>
      </c>
      <c r="B58" s="22" t="s">
        <v>517</v>
      </c>
      <c r="C58" s="22" t="s">
        <v>165</v>
      </c>
      <c r="D58" s="22" t="s">
        <v>184</v>
      </c>
      <c r="E58" s="22" t="s">
        <v>415</v>
      </c>
      <c r="F58" s="22" t="s">
        <v>595</v>
      </c>
      <c r="G58" s="31">
        <f>5650+145+1700-1500-5670+390</f>
        <v>715</v>
      </c>
      <c r="H58" s="31">
        <v>665.82</v>
      </c>
      <c r="I58" s="31">
        <f t="shared" si="4"/>
        <v>93.121678321678331</v>
      </c>
    </row>
    <row r="59" spans="1:9" x14ac:dyDescent="0.2">
      <c r="A59" s="68" t="s">
        <v>186</v>
      </c>
      <c r="B59" s="22" t="s">
        <v>517</v>
      </c>
      <c r="C59" s="22" t="s">
        <v>165</v>
      </c>
      <c r="D59" s="22" t="s">
        <v>184</v>
      </c>
      <c r="E59" s="22" t="s">
        <v>415</v>
      </c>
      <c r="F59" s="22" t="s">
        <v>185</v>
      </c>
      <c r="G59" s="31">
        <f>G60</f>
        <v>205</v>
      </c>
      <c r="H59" s="31">
        <f>H60</f>
        <v>95.23</v>
      </c>
      <c r="I59" s="31">
        <f t="shared" si="4"/>
        <v>46.453658536585365</v>
      </c>
    </row>
    <row r="60" spans="1:9" x14ac:dyDescent="0.2">
      <c r="A60" s="68" t="s">
        <v>187</v>
      </c>
      <c r="B60" s="22" t="s">
        <v>517</v>
      </c>
      <c r="C60" s="22" t="s">
        <v>165</v>
      </c>
      <c r="D60" s="22" t="s">
        <v>184</v>
      </c>
      <c r="E60" s="22" t="s">
        <v>415</v>
      </c>
      <c r="F60" s="22" t="s">
        <v>188</v>
      </c>
      <c r="G60" s="31">
        <f>600-390-5</f>
        <v>205</v>
      </c>
      <c r="H60" s="31">
        <v>95.23</v>
      </c>
      <c r="I60" s="31">
        <f t="shared" si="4"/>
        <v>46.453658536585365</v>
      </c>
    </row>
    <row r="61" spans="1:9" x14ac:dyDescent="0.2">
      <c r="A61" s="68" t="s">
        <v>378</v>
      </c>
      <c r="B61" s="22" t="s">
        <v>517</v>
      </c>
      <c r="C61" s="22" t="s">
        <v>165</v>
      </c>
      <c r="D61" s="22" t="s">
        <v>184</v>
      </c>
      <c r="E61" s="22" t="s">
        <v>415</v>
      </c>
      <c r="F61" s="22" t="s">
        <v>175</v>
      </c>
      <c r="G61" s="31">
        <f>G62</f>
        <v>5</v>
      </c>
      <c r="H61" s="31">
        <f>H62</f>
        <v>4.3</v>
      </c>
      <c r="I61" s="31">
        <f t="shared" si="4"/>
        <v>86</v>
      </c>
    </row>
    <row r="62" spans="1:9" x14ac:dyDescent="0.2">
      <c r="A62" s="68" t="s">
        <v>176</v>
      </c>
      <c r="B62" s="22" t="s">
        <v>517</v>
      </c>
      <c r="C62" s="22" t="s">
        <v>165</v>
      </c>
      <c r="D62" s="22" t="s">
        <v>184</v>
      </c>
      <c r="E62" s="22" t="s">
        <v>415</v>
      </c>
      <c r="F62" s="22" t="s">
        <v>177</v>
      </c>
      <c r="G62" s="31">
        <v>5</v>
      </c>
      <c r="H62" s="31">
        <v>4.3</v>
      </c>
      <c r="I62" s="31">
        <f t="shared" si="4"/>
        <v>86</v>
      </c>
    </row>
    <row r="63" spans="1:9" x14ac:dyDescent="0.2">
      <c r="A63" s="64" t="s">
        <v>589</v>
      </c>
      <c r="B63" s="16" t="s">
        <v>517</v>
      </c>
      <c r="C63" s="16" t="s">
        <v>165</v>
      </c>
      <c r="D63" s="16" t="s">
        <v>184</v>
      </c>
      <c r="E63" s="16" t="s">
        <v>590</v>
      </c>
      <c r="F63" s="16"/>
      <c r="G63" s="32">
        <f>G64+G66+G68</f>
        <v>7755</v>
      </c>
      <c r="H63" s="32">
        <f>H64+H66+H68</f>
        <v>7662.1</v>
      </c>
      <c r="I63" s="32">
        <f t="shared" si="4"/>
        <v>98.802063185041916</v>
      </c>
    </row>
    <row r="64" spans="1:9" ht="36" x14ac:dyDescent="0.2">
      <c r="A64" s="68" t="s">
        <v>168</v>
      </c>
      <c r="B64" s="22" t="s">
        <v>517</v>
      </c>
      <c r="C64" s="22" t="s">
        <v>165</v>
      </c>
      <c r="D64" s="22" t="s">
        <v>184</v>
      </c>
      <c r="E64" s="22" t="s">
        <v>590</v>
      </c>
      <c r="F64" s="22" t="s">
        <v>169</v>
      </c>
      <c r="G64" s="31">
        <f>G65</f>
        <v>7570</v>
      </c>
      <c r="H64" s="31">
        <f>H65</f>
        <v>7564.6</v>
      </c>
      <c r="I64" s="31">
        <f t="shared" si="4"/>
        <v>99.928665785997367</v>
      </c>
    </row>
    <row r="65" spans="1:9" x14ac:dyDescent="0.2">
      <c r="A65" s="68" t="s">
        <v>594</v>
      </c>
      <c r="B65" s="22" t="s">
        <v>517</v>
      </c>
      <c r="C65" s="22" t="s">
        <v>165</v>
      </c>
      <c r="D65" s="22" t="s">
        <v>184</v>
      </c>
      <c r="E65" s="22" t="s">
        <v>590</v>
      </c>
      <c r="F65" s="22" t="s">
        <v>595</v>
      </c>
      <c r="G65" s="31">
        <f>5070+2500</f>
        <v>7570</v>
      </c>
      <c r="H65" s="31">
        <v>7564.6</v>
      </c>
      <c r="I65" s="31">
        <f t="shared" si="4"/>
        <v>99.928665785997367</v>
      </c>
    </row>
    <row r="66" spans="1:9" x14ac:dyDescent="0.2">
      <c r="A66" s="68" t="s">
        <v>378</v>
      </c>
      <c r="B66" s="22" t="s">
        <v>517</v>
      </c>
      <c r="C66" s="22" t="s">
        <v>165</v>
      </c>
      <c r="D66" s="22" t="s">
        <v>184</v>
      </c>
      <c r="E66" s="22" t="s">
        <v>590</v>
      </c>
      <c r="F66" s="22" t="s">
        <v>175</v>
      </c>
      <c r="G66" s="31">
        <f>G67</f>
        <v>170</v>
      </c>
      <c r="H66" s="31">
        <f>H67</f>
        <v>92.7</v>
      </c>
      <c r="I66" s="31">
        <f t="shared" si="4"/>
        <v>54.529411764705884</v>
      </c>
    </row>
    <row r="67" spans="1:9" ht="15" customHeight="1" x14ac:dyDescent="0.2">
      <c r="A67" s="68" t="s">
        <v>176</v>
      </c>
      <c r="B67" s="22" t="s">
        <v>517</v>
      </c>
      <c r="C67" s="22" t="s">
        <v>165</v>
      </c>
      <c r="D67" s="22" t="s">
        <v>184</v>
      </c>
      <c r="E67" s="22" t="s">
        <v>590</v>
      </c>
      <c r="F67" s="22" t="s">
        <v>177</v>
      </c>
      <c r="G67" s="31">
        <f>270-100</f>
        <v>170</v>
      </c>
      <c r="H67" s="31">
        <v>92.7</v>
      </c>
      <c r="I67" s="31">
        <f t="shared" si="4"/>
        <v>54.529411764705884</v>
      </c>
    </row>
    <row r="68" spans="1:9" x14ac:dyDescent="0.2">
      <c r="A68" s="68" t="s">
        <v>178</v>
      </c>
      <c r="B68" s="22" t="s">
        <v>517</v>
      </c>
      <c r="C68" s="22" t="s">
        <v>165</v>
      </c>
      <c r="D68" s="22" t="s">
        <v>184</v>
      </c>
      <c r="E68" s="22" t="s">
        <v>590</v>
      </c>
      <c r="F68" s="22" t="s">
        <v>179</v>
      </c>
      <c r="G68" s="31">
        <f>G69</f>
        <v>15</v>
      </c>
      <c r="H68" s="31">
        <f>H69</f>
        <v>4.8</v>
      </c>
      <c r="I68" s="31">
        <f t="shared" si="4"/>
        <v>32</v>
      </c>
    </row>
    <row r="69" spans="1:9" x14ac:dyDescent="0.2">
      <c r="A69" s="68" t="s">
        <v>87</v>
      </c>
      <c r="B69" s="22" t="s">
        <v>517</v>
      </c>
      <c r="C69" s="22" t="s">
        <v>165</v>
      </c>
      <c r="D69" s="22" t="s">
        <v>184</v>
      </c>
      <c r="E69" s="22" t="s">
        <v>590</v>
      </c>
      <c r="F69" s="22" t="s">
        <v>180</v>
      </c>
      <c r="G69" s="31">
        <v>15</v>
      </c>
      <c r="H69" s="31">
        <v>4.8</v>
      </c>
      <c r="I69" s="31">
        <f t="shared" si="4"/>
        <v>32</v>
      </c>
    </row>
    <row r="70" spans="1:9" ht="14.25" customHeight="1" x14ac:dyDescent="0.2">
      <c r="A70" s="64" t="s">
        <v>213</v>
      </c>
      <c r="B70" s="16" t="s">
        <v>517</v>
      </c>
      <c r="C70" s="16" t="s">
        <v>165</v>
      </c>
      <c r="D70" s="16" t="s">
        <v>184</v>
      </c>
      <c r="E70" s="16" t="s">
        <v>416</v>
      </c>
      <c r="F70" s="16"/>
      <c r="G70" s="32">
        <f>G71</f>
        <v>2350</v>
      </c>
      <c r="H70" s="32">
        <f>H71</f>
        <v>2265.9279999999999</v>
      </c>
      <c r="I70" s="32">
        <f t="shared" si="4"/>
        <v>96.422468085106388</v>
      </c>
    </row>
    <row r="71" spans="1:9" ht="24" x14ac:dyDescent="0.2">
      <c r="A71" s="68" t="s">
        <v>191</v>
      </c>
      <c r="B71" s="22" t="s">
        <v>517</v>
      </c>
      <c r="C71" s="22" t="s">
        <v>165</v>
      </c>
      <c r="D71" s="22" t="s">
        <v>184</v>
      </c>
      <c r="E71" s="22" t="s">
        <v>416</v>
      </c>
      <c r="F71" s="22" t="s">
        <v>522</v>
      </c>
      <c r="G71" s="31">
        <f>G72</f>
        <v>2350</v>
      </c>
      <c r="H71" s="31">
        <f>H72</f>
        <v>2265.9279999999999</v>
      </c>
      <c r="I71" s="31">
        <f t="shared" si="4"/>
        <v>96.422468085106388</v>
      </c>
    </row>
    <row r="72" spans="1:9" x14ac:dyDescent="0.2">
      <c r="A72" s="68" t="s">
        <v>192</v>
      </c>
      <c r="B72" s="22" t="s">
        <v>517</v>
      </c>
      <c r="C72" s="22" t="s">
        <v>165</v>
      </c>
      <c r="D72" s="22" t="s">
        <v>184</v>
      </c>
      <c r="E72" s="22" t="s">
        <v>416</v>
      </c>
      <c r="F72" s="22" t="s">
        <v>536</v>
      </c>
      <c r="G72" s="31">
        <f>1600+250+300+200</f>
        <v>2350</v>
      </c>
      <c r="H72" s="31">
        <v>2265.9279999999999</v>
      </c>
      <c r="I72" s="31">
        <f t="shared" si="4"/>
        <v>96.422468085106388</v>
      </c>
    </row>
    <row r="73" spans="1:9" ht="24" x14ac:dyDescent="0.2">
      <c r="A73" s="64" t="s">
        <v>215</v>
      </c>
      <c r="B73" s="16" t="s">
        <v>517</v>
      </c>
      <c r="C73" s="16" t="s">
        <v>165</v>
      </c>
      <c r="D73" s="16" t="s">
        <v>184</v>
      </c>
      <c r="E73" s="16" t="s">
        <v>134</v>
      </c>
      <c r="F73" s="16"/>
      <c r="G73" s="32">
        <f>G74</f>
        <v>21000</v>
      </c>
      <c r="H73" s="32">
        <f>H74</f>
        <v>16193.64</v>
      </c>
      <c r="I73" s="32">
        <f t="shared" ref="I73:I104" si="5">H73/G73*100</f>
        <v>77.112571428571428</v>
      </c>
    </row>
    <row r="74" spans="1:9" x14ac:dyDescent="0.2">
      <c r="A74" s="68" t="s">
        <v>178</v>
      </c>
      <c r="B74" s="22" t="s">
        <v>517</v>
      </c>
      <c r="C74" s="22" t="s">
        <v>165</v>
      </c>
      <c r="D74" s="22" t="s">
        <v>184</v>
      </c>
      <c r="E74" s="22" t="s">
        <v>134</v>
      </c>
      <c r="F74" s="22" t="s">
        <v>179</v>
      </c>
      <c r="G74" s="31">
        <f>G75</f>
        <v>21000</v>
      </c>
      <c r="H74" s="31">
        <f>H75</f>
        <v>16193.64</v>
      </c>
      <c r="I74" s="31">
        <f t="shared" si="5"/>
        <v>77.112571428571428</v>
      </c>
    </row>
    <row r="75" spans="1:9" x14ac:dyDescent="0.2">
      <c r="A75" s="68" t="s">
        <v>87</v>
      </c>
      <c r="B75" s="22" t="s">
        <v>517</v>
      </c>
      <c r="C75" s="22" t="s">
        <v>165</v>
      </c>
      <c r="D75" s="22" t="s">
        <v>184</v>
      </c>
      <c r="E75" s="22" t="s">
        <v>134</v>
      </c>
      <c r="F75" s="22" t="s">
        <v>180</v>
      </c>
      <c r="G75" s="31">
        <f>28500+10000-2500-15000</f>
        <v>21000</v>
      </c>
      <c r="H75" s="31">
        <v>16193.64</v>
      </c>
      <c r="I75" s="31">
        <f t="shared" si="5"/>
        <v>77.112571428571428</v>
      </c>
    </row>
    <row r="76" spans="1:9" x14ac:dyDescent="0.2">
      <c r="A76" s="64" t="s">
        <v>406</v>
      </c>
      <c r="B76" s="16" t="s">
        <v>517</v>
      </c>
      <c r="C76" s="16" t="s">
        <v>165</v>
      </c>
      <c r="D76" s="16" t="s">
        <v>184</v>
      </c>
      <c r="E76" s="33" t="s">
        <v>104</v>
      </c>
      <c r="F76" s="16"/>
      <c r="G76" s="95">
        <f>G77</f>
        <v>5655.03</v>
      </c>
      <c r="H76" s="95">
        <f>H77</f>
        <v>5538.6369999999997</v>
      </c>
      <c r="I76" s="32">
        <f t="shared" si="5"/>
        <v>97.941779265538827</v>
      </c>
    </row>
    <row r="77" spans="1:9" x14ac:dyDescent="0.2">
      <c r="A77" s="68" t="s">
        <v>178</v>
      </c>
      <c r="B77" s="22" t="s">
        <v>517</v>
      </c>
      <c r="C77" s="22" t="s">
        <v>165</v>
      </c>
      <c r="D77" s="22" t="s">
        <v>184</v>
      </c>
      <c r="E77" s="30" t="s">
        <v>104</v>
      </c>
      <c r="F77" s="22" t="s">
        <v>179</v>
      </c>
      <c r="G77" s="96">
        <f>G78+G79</f>
        <v>5655.03</v>
      </c>
      <c r="H77" s="96">
        <f>H78+H79</f>
        <v>5538.6369999999997</v>
      </c>
      <c r="I77" s="31">
        <f t="shared" si="5"/>
        <v>97.941779265538827</v>
      </c>
    </row>
    <row r="78" spans="1:9" x14ac:dyDescent="0.2">
      <c r="A78" s="68" t="s">
        <v>228</v>
      </c>
      <c r="B78" s="22" t="s">
        <v>517</v>
      </c>
      <c r="C78" s="22" t="s">
        <v>165</v>
      </c>
      <c r="D78" s="22" t="s">
        <v>184</v>
      </c>
      <c r="E78" s="30" t="s">
        <v>104</v>
      </c>
      <c r="F78" s="22" t="s">
        <v>232</v>
      </c>
      <c r="G78" s="96">
        <v>5645.03</v>
      </c>
      <c r="H78" s="96">
        <v>5538.6369999999997</v>
      </c>
      <c r="I78" s="31">
        <f t="shared" si="5"/>
        <v>98.115280166801583</v>
      </c>
    </row>
    <row r="79" spans="1:9" x14ac:dyDescent="0.2">
      <c r="A79" s="68" t="s">
        <v>87</v>
      </c>
      <c r="B79" s="22" t="s">
        <v>517</v>
      </c>
      <c r="C79" s="22" t="s">
        <v>165</v>
      </c>
      <c r="D79" s="22" t="s">
        <v>184</v>
      </c>
      <c r="E79" s="30" t="s">
        <v>104</v>
      </c>
      <c r="F79" s="22" t="s">
        <v>180</v>
      </c>
      <c r="G79" s="96">
        <v>10</v>
      </c>
      <c r="H79" s="96">
        <v>0</v>
      </c>
      <c r="I79" s="133">
        <f t="shared" si="5"/>
        <v>0</v>
      </c>
    </row>
    <row r="80" spans="1:9" ht="27" x14ac:dyDescent="0.2">
      <c r="A80" s="70" t="s">
        <v>441</v>
      </c>
      <c r="B80" s="43" t="s">
        <v>517</v>
      </c>
      <c r="C80" s="43" t="s">
        <v>165</v>
      </c>
      <c r="D80" s="43" t="s">
        <v>184</v>
      </c>
      <c r="E80" s="49" t="s">
        <v>297</v>
      </c>
      <c r="F80" s="48"/>
      <c r="G80" s="47">
        <f>G81+G85+G110+G117</f>
        <v>15075</v>
      </c>
      <c r="H80" s="47">
        <f>H81+H85+H110+H117</f>
        <v>13547.365</v>
      </c>
      <c r="I80" s="47">
        <f t="shared" si="5"/>
        <v>89.866434494195687</v>
      </c>
    </row>
    <row r="81" spans="1:9" ht="40.5" x14ac:dyDescent="0.2">
      <c r="A81" s="82" t="s">
        <v>253</v>
      </c>
      <c r="B81" s="43" t="s">
        <v>517</v>
      </c>
      <c r="C81" s="43" t="s">
        <v>165</v>
      </c>
      <c r="D81" s="43" t="s">
        <v>184</v>
      </c>
      <c r="E81" s="77" t="s">
        <v>254</v>
      </c>
      <c r="F81" s="48"/>
      <c r="G81" s="47">
        <f t="shared" ref="G81:H83" si="6">G82</f>
        <v>3500</v>
      </c>
      <c r="H81" s="47">
        <f t="shared" si="6"/>
        <v>3500</v>
      </c>
      <c r="I81" s="47">
        <f t="shared" si="5"/>
        <v>100</v>
      </c>
    </row>
    <row r="82" spans="1:9" ht="24" x14ac:dyDescent="0.2">
      <c r="A82" s="61" t="s">
        <v>255</v>
      </c>
      <c r="B82" s="16" t="s">
        <v>517</v>
      </c>
      <c r="C82" s="16" t="s">
        <v>165</v>
      </c>
      <c r="D82" s="16" t="s">
        <v>184</v>
      </c>
      <c r="E82" s="33" t="s">
        <v>214</v>
      </c>
      <c r="F82" s="28"/>
      <c r="G82" s="95">
        <f t="shared" si="6"/>
        <v>3500</v>
      </c>
      <c r="H82" s="95">
        <f t="shared" si="6"/>
        <v>3500</v>
      </c>
      <c r="I82" s="32">
        <f t="shared" si="5"/>
        <v>100</v>
      </c>
    </row>
    <row r="83" spans="1:9" x14ac:dyDescent="0.2">
      <c r="A83" s="68" t="s">
        <v>378</v>
      </c>
      <c r="B83" s="22" t="s">
        <v>517</v>
      </c>
      <c r="C83" s="22" t="s">
        <v>165</v>
      </c>
      <c r="D83" s="22" t="s">
        <v>184</v>
      </c>
      <c r="E83" s="30" t="s">
        <v>214</v>
      </c>
      <c r="F83" s="23">
        <v>200</v>
      </c>
      <c r="G83" s="96">
        <f t="shared" si="6"/>
        <v>3500</v>
      </c>
      <c r="H83" s="96">
        <f t="shared" si="6"/>
        <v>3500</v>
      </c>
      <c r="I83" s="31">
        <f t="shared" si="5"/>
        <v>100</v>
      </c>
    </row>
    <row r="84" spans="1:9" ht="15" customHeight="1" x14ac:dyDescent="0.2">
      <c r="A84" s="68" t="s">
        <v>176</v>
      </c>
      <c r="B84" s="22" t="s">
        <v>517</v>
      </c>
      <c r="C84" s="22" t="s">
        <v>165</v>
      </c>
      <c r="D84" s="22" t="s">
        <v>184</v>
      </c>
      <c r="E84" s="30" t="s">
        <v>214</v>
      </c>
      <c r="F84" s="23">
        <v>240</v>
      </c>
      <c r="G84" s="96">
        <f>2000+1500</f>
        <v>3500</v>
      </c>
      <c r="H84" s="96">
        <v>3500</v>
      </c>
      <c r="I84" s="31">
        <f t="shared" si="5"/>
        <v>100</v>
      </c>
    </row>
    <row r="85" spans="1:9" ht="27" x14ac:dyDescent="0.2">
      <c r="A85" s="82" t="s">
        <v>135</v>
      </c>
      <c r="B85" s="43" t="s">
        <v>517</v>
      </c>
      <c r="C85" s="43" t="s">
        <v>165</v>
      </c>
      <c r="D85" s="43" t="s">
        <v>184</v>
      </c>
      <c r="E85" s="77" t="s">
        <v>330</v>
      </c>
      <c r="F85" s="48"/>
      <c r="G85" s="47">
        <f>G86+G89++G92+G95+G98+G101+G104+G107</f>
        <v>4816</v>
      </c>
      <c r="H85" s="47">
        <f>H86+H89++H92+H95+H98+H101+H104+H107</f>
        <v>4606.5150000000003</v>
      </c>
      <c r="I85" s="47">
        <f t="shared" si="5"/>
        <v>95.650228405315616</v>
      </c>
    </row>
    <row r="86" spans="1:9" ht="24" x14ac:dyDescent="0.2">
      <c r="A86" s="61" t="s">
        <v>110</v>
      </c>
      <c r="B86" s="16" t="s">
        <v>517</v>
      </c>
      <c r="C86" s="16" t="s">
        <v>165</v>
      </c>
      <c r="D86" s="16" t="s">
        <v>184</v>
      </c>
      <c r="E86" s="33" t="s">
        <v>136</v>
      </c>
      <c r="F86" s="28"/>
      <c r="G86" s="32">
        <f>G87</f>
        <v>146</v>
      </c>
      <c r="H86" s="32">
        <f>H87</f>
        <v>146</v>
      </c>
      <c r="I86" s="32">
        <f t="shared" si="5"/>
        <v>100</v>
      </c>
    </row>
    <row r="87" spans="1:9" x14ac:dyDescent="0.2">
      <c r="A87" s="68" t="s">
        <v>378</v>
      </c>
      <c r="B87" s="22" t="s">
        <v>517</v>
      </c>
      <c r="C87" s="22" t="s">
        <v>165</v>
      </c>
      <c r="D87" s="22" t="s">
        <v>184</v>
      </c>
      <c r="E87" s="30" t="s">
        <v>136</v>
      </c>
      <c r="F87" s="23">
        <v>200</v>
      </c>
      <c r="G87" s="31">
        <f>G88</f>
        <v>146</v>
      </c>
      <c r="H87" s="31">
        <f>H88</f>
        <v>146</v>
      </c>
      <c r="I87" s="31">
        <f t="shared" si="5"/>
        <v>100</v>
      </c>
    </row>
    <row r="88" spans="1:9" ht="15" customHeight="1" x14ac:dyDescent="0.2">
      <c r="A88" s="68" t="s">
        <v>176</v>
      </c>
      <c r="B88" s="22" t="s">
        <v>517</v>
      </c>
      <c r="C88" s="22" t="s">
        <v>165</v>
      </c>
      <c r="D88" s="22" t="s">
        <v>184</v>
      </c>
      <c r="E88" s="30" t="s">
        <v>136</v>
      </c>
      <c r="F88" s="23">
        <v>240</v>
      </c>
      <c r="G88" s="31">
        <f>1928-1782</f>
        <v>146</v>
      </c>
      <c r="H88" s="31">
        <v>146</v>
      </c>
      <c r="I88" s="31">
        <f t="shared" si="5"/>
        <v>100</v>
      </c>
    </row>
    <row r="89" spans="1:9" ht="24" x14ac:dyDescent="0.2">
      <c r="A89" s="61" t="s">
        <v>111</v>
      </c>
      <c r="B89" s="16" t="s">
        <v>517</v>
      </c>
      <c r="C89" s="16" t="s">
        <v>165</v>
      </c>
      <c r="D89" s="16" t="s">
        <v>184</v>
      </c>
      <c r="E89" s="33" t="s">
        <v>137</v>
      </c>
      <c r="F89" s="23"/>
      <c r="G89" s="32">
        <f>G90</f>
        <v>325</v>
      </c>
      <c r="H89" s="32">
        <f>H90</f>
        <v>325</v>
      </c>
      <c r="I89" s="32">
        <f t="shared" si="5"/>
        <v>100</v>
      </c>
    </row>
    <row r="90" spans="1:9" x14ac:dyDescent="0.2">
      <c r="A90" s="68" t="s">
        <v>378</v>
      </c>
      <c r="B90" s="22" t="s">
        <v>517</v>
      </c>
      <c r="C90" s="22" t="s">
        <v>165</v>
      </c>
      <c r="D90" s="22" t="s">
        <v>184</v>
      </c>
      <c r="E90" s="30" t="s">
        <v>137</v>
      </c>
      <c r="F90" s="23">
        <v>200</v>
      </c>
      <c r="G90" s="31">
        <f>G91</f>
        <v>325</v>
      </c>
      <c r="H90" s="31">
        <f>H91</f>
        <v>325</v>
      </c>
      <c r="I90" s="31">
        <f t="shared" si="5"/>
        <v>100</v>
      </c>
    </row>
    <row r="91" spans="1:9" ht="15" customHeight="1" x14ac:dyDescent="0.2">
      <c r="A91" s="68" t="s">
        <v>176</v>
      </c>
      <c r="B91" s="22" t="s">
        <v>517</v>
      </c>
      <c r="C91" s="22" t="s">
        <v>165</v>
      </c>
      <c r="D91" s="22" t="s">
        <v>184</v>
      </c>
      <c r="E91" s="30" t="s">
        <v>137</v>
      </c>
      <c r="F91" s="23">
        <v>240</v>
      </c>
      <c r="G91" s="31">
        <f>340+80-95</f>
        <v>325</v>
      </c>
      <c r="H91" s="31">
        <v>325</v>
      </c>
      <c r="I91" s="31">
        <f t="shared" si="5"/>
        <v>100</v>
      </c>
    </row>
    <row r="92" spans="1:9" ht="36" x14ac:dyDescent="0.2">
      <c r="A92" s="61" t="s">
        <v>112</v>
      </c>
      <c r="B92" s="16" t="s">
        <v>517</v>
      </c>
      <c r="C92" s="16" t="s">
        <v>165</v>
      </c>
      <c r="D92" s="16" t="s">
        <v>184</v>
      </c>
      <c r="E92" s="33" t="s">
        <v>138</v>
      </c>
      <c r="F92" s="23"/>
      <c r="G92" s="32">
        <f>G93</f>
        <v>490</v>
      </c>
      <c r="H92" s="32">
        <f>H93</f>
        <v>490</v>
      </c>
      <c r="I92" s="32">
        <f t="shared" si="5"/>
        <v>100</v>
      </c>
    </row>
    <row r="93" spans="1:9" x14ac:dyDescent="0.2">
      <c r="A93" s="68" t="s">
        <v>378</v>
      </c>
      <c r="B93" s="22" t="s">
        <v>517</v>
      </c>
      <c r="C93" s="22" t="s">
        <v>165</v>
      </c>
      <c r="D93" s="22" t="s">
        <v>184</v>
      </c>
      <c r="E93" s="30" t="s">
        <v>138</v>
      </c>
      <c r="F93" s="23">
        <v>200</v>
      </c>
      <c r="G93" s="31">
        <f>G94</f>
        <v>490</v>
      </c>
      <c r="H93" s="31">
        <f>H94</f>
        <v>490</v>
      </c>
      <c r="I93" s="31">
        <f t="shared" si="5"/>
        <v>100</v>
      </c>
    </row>
    <row r="94" spans="1:9" ht="15" customHeight="1" x14ac:dyDescent="0.2">
      <c r="A94" s="68" t="s">
        <v>176</v>
      </c>
      <c r="B94" s="22" t="s">
        <v>517</v>
      </c>
      <c r="C94" s="22" t="s">
        <v>165</v>
      </c>
      <c r="D94" s="22" t="s">
        <v>184</v>
      </c>
      <c r="E94" s="30" t="s">
        <v>138</v>
      </c>
      <c r="F94" s="23">
        <v>240</v>
      </c>
      <c r="G94" s="31">
        <f>385+115-10</f>
        <v>490</v>
      </c>
      <c r="H94" s="31">
        <v>490</v>
      </c>
      <c r="I94" s="31">
        <f t="shared" si="5"/>
        <v>100</v>
      </c>
    </row>
    <row r="95" spans="1:9" x14ac:dyDescent="0.2">
      <c r="A95" s="61" t="s">
        <v>113</v>
      </c>
      <c r="B95" s="16" t="s">
        <v>517</v>
      </c>
      <c r="C95" s="16" t="s">
        <v>165</v>
      </c>
      <c r="D95" s="16" t="s">
        <v>184</v>
      </c>
      <c r="E95" s="33" t="s">
        <v>139</v>
      </c>
      <c r="F95" s="23"/>
      <c r="G95" s="32">
        <f>G96</f>
        <v>536</v>
      </c>
      <c r="H95" s="32">
        <f>H96</f>
        <v>535.71500000000003</v>
      </c>
      <c r="I95" s="32">
        <f t="shared" si="5"/>
        <v>99.946828358208961</v>
      </c>
    </row>
    <row r="96" spans="1:9" x14ac:dyDescent="0.2">
      <c r="A96" s="68" t="s">
        <v>378</v>
      </c>
      <c r="B96" s="22" t="s">
        <v>517</v>
      </c>
      <c r="C96" s="22" t="s">
        <v>165</v>
      </c>
      <c r="D96" s="22" t="s">
        <v>184</v>
      </c>
      <c r="E96" s="30" t="s">
        <v>139</v>
      </c>
      <c r="F96" s="23">
        <v>200</v>
      </c>
      <c r="G96" s="31">
        <f>G97</f>
        <v>536</v>
      </c>
      <c r="H96" s="31">
        <f>H97</f>
        <v>535.71500000000003</v>
      </c>
      <c r="I96" s="31">
        <f t="shared" si="5"/>
        <v>99.946828358208961</v>
      </c>
    </row>
    <row r="97" spans="1:9" ht="15" customHeight="1" x14ac:dyDescent="0.2">
      <c r="A97" s="68" t="s">
        <v>176</v>
      </c>
      <c r="B97" s="22" t="s">
        <v>517</v>
      </c>
      <c r="C97" s="22" t="s">
        <v>165</v>
      </c>
      <c r="D97" s="22" t="s">
        <v>184</v>
      </c>
      <c r="E97" s="30" t="s">
        <v>139</v>
      </c>
      <c r="F97" s="23">
        <v>240</v>
      </c>
      <c r="G97" s="31">
        <f>320+216</f>
        <v>536</v>
      </c>
      <c r="H97" s="31">
        <v>535.71500000000003</v>
      </c>
      <c r="I97" s="31">
        <f t="shared" si="5"/>
        <v>99.946828358208961</v>
      </c>
    </row>
    <row r="98" spans="1:9" ht="14.25" customHeight="1" x14ac:dyDescent="0.2">
      <c r="A98" s="61" t="s">
        <v>114</v>
      </c>
      <c r="B98" s="16" t="s">
        <v>517</v>
      </c>
      <c r="C98" s="16" t="s">
        <v>165</v>
      </c>
      <c r="D98" s="16" t="s">
        <v>184</v>
      </c>
      <c r="E98" s="33" t="s">
        <v>140</v>
      </c>
      <c r="F98" s="23"/>
      <c r="G98" s="32">
        <f>G99</f>
        <v>1123</v>
      </c>
      <c r="H98" s="32">
        <f>H99</f>
        <v>921.8</v>
      </c>
      <c r="I98" s="32">
        <f t="shared" si="5"/>
        <v>82.083704363312549</v>
      </c>
    </row>
    <row r="99" spans="1:9" x14ac:dyDescent="0.2">
      <c r="A99" s="68" t="s">
        <v>378</v>
      </c>
      <c r="B99" s="22" t="s">
        <v>517</v>
      </c>
      <c r="C99" s="22" t="s">
        <v>165</v>
      </c>
      <c r="D99" s="22" t="s">
        <v>184</v>
      </c>
      <c r="E99" s="30" t="s">
        <v>140</v>
      </c>
      <c r="F99" s="23">
        <v>200</v>
      </c>
      <c r="G99" s="31">
        <f>G100</f>
        <v>1123</v>
      </c>
      <c r="H99" s="31">
        <f>H100</f>
        <v>921.8</v>
      </c>
      <c r="I99" s="31">
        <f t="shared" si="5"/>
        <v>82.083704363312549</v>
      </c>
    </row>
    <row r="100" spans="1:9" ht="15" customHeight="1" x14ac:dyDescent="0.2">
      <c r="A100" s="68" t="s">
        <v>176</v>
      </c>
      <c r="B100" s="22" t="s">
        <v>517</v>
      </c>
      <c r="C100" s="22" t="s">
        <v>165</v>
      </c>
      <c r="D100" s="22" t="s">
        <v>184</v>
      </c>
      <c r="E100" s="30" t="s">
        <v>140</v>
      </c>
      <c r="F100" s="23">
        <v>240</v>
      </c>
      <c r="G100" s="31">
        <f>823+300</f>
        <v>1123</v>
      </c>
      <c r="H100" s="31">
        <v>921.8</v>
      </c>
      <c r="I100" s="31">
        <f t="shared" si="5"/>
        <v>82.083704363312549</v>
      </c>
    </row>
    <row r="101" spans="1:9" x14ac:dyDescent="0.2">
      <c r="A101" s="61" t="s">
        <v>334</v>
      </c>
      <c r="B101" s="16" t="s">
        <v>517</v>
      </c>
      <c r="C101" s="16" t="s">
        <v>165</v>
      </c>
      <c r="D101" s="16" t="s">
        <v>184</v>
      </c>
      <c r="E101" s="33" t="s">
        <v>141</v>
      </c>
      <c r="F101" s="23"/>
      <c r="G101" s="32">
        <f>G102</f>
        <v>972</v>
      </c>
      <c r="H101" s="32">
        <f>H102</f>
        <v>967.8</v>
      </c>
      <c r="I101" s="32">
        <f t="shared" si="5"/>
        <v>99.567901234567898</v>
      </c>
    </row>
    <row r="102" spans="1:9" x14ac:dyDescent="0.2">
      <c r="A102" s="68" t="s">
        <v>378</v>
      </c>
      <c r="B102" s="22" t="s">
        <v>517</v>
      </c>
      <c r="C102" s="22" t="s">
        <v>165</v>
      </c>
      <c r="D102" s="22" t="s">
        <v>184</v>
      </c>
      <c r="E102" s="30" t="s">
        <v>141</v>
      </c>
      <c r="F102" s="23">
        <v>200</v>
      </c>
      <c r="G102" s="31">
        <f>G103</f>
        <v>972</v>
      </c>
      <c r="H102" s="31">
        <f>H103</f>
        <v>967.8</v>
      </c>
      <c r="I102" s="31">
        <f t="shared" si="5"/>
        <v>99.567901234567898</v>
      </c>
    </row>
    <row r="103" spans="1:9" ht="15" customHeight="1" x14ac:dyDescent="0.2">
      <c r="A103" s="68" t="s">
        <v>176</v>
      </c>
      <c r="B103" s="22" t="s">
        <v>517</v>
      </c>
      <c r="C103" s="22" t="s">
        <v>165</v>
      </c>
      <c r="D103" s="22" t="s">
        <v>184</v>
      </c>
      <c r="E103" s="30" t="s">
        <v>141</v>
      </c>
      <c r="F103" s="23">
        <v>240</v>
      </c>
      <c r="G103" s="31">
        <f>1017-45</f>
        <v>972</v>
      </c>
      <c r="H103" s="31">
        <v>967.8</v>
      </c>
      <c r="I103" s="31">
        <f t="shared" si="5"/>
        <v>99.567901234567898</v>
      </c>
    </row>
    <row r="104" spans="1:9" x14ac:dyDescent="0.2">
      <c r="A104" s="64" t="s">
        <v>115</v>
      </c>
      <c r="B104" s="16" t="s">
        <v>517</v>
      </c>
      <c r="C104" s="16" t="s">
        <v>165</v>
      </c>
      <c r="D104" s="16" t="s">
        <v>184</v>
      </c>
      <c r="E104" s="33" t="s">
        <v>142</v>
      </c>
      <c r="F104" s="23"/>
      <c r="G104" s="32">
        <f>G105</f>
        <v>1094</v>
      </c>
      <c r="H104" s="32">
        <f>H105</f>
        <v>1093.7</v>
      </c>
      <c r="I104" s="32">
        <f t="shared" si="5"/>
        <v>99.972577696526514</v>
      </c>
    </row>
    <row r="105" spans="1:9" x14ac:dyDescent="0.2">
      <c r="A105" s="68" t="s">
        <v>378</v>
      </c>
      <c r="B105" s="22" t="s">
        <v>517</v>
      </c>
      <c r="C105" s="22" t="s">
        <v>165</v>
      </c>
      <c r="D105" s="22" t="s">
        <v>184</v>
      </c>
      <c r="E105" s="30" t="s">
        <v>142</v>
      </c>
      <c r="F105" s="23">
        <v>200</v>
      </c>
      <c r="G105" s="31">
        <f>G106</f>
        <v>1094</v>
      </c>
      <c r="H105" s="31">
        <f>H106</f>
        <v>1093.7</v>
      </c>
      <c r="I105" s="31">
        <f t="shared" ref="I105:I131" si="7">H105/G105*100</f>
        <v>99.972577696526514</v>
      </c>
    </row>
    <row r="106" spans="1:9" ht="15" customHeight="1" x14ac:dyDescent="0.2">
      <c r="A106" s="68" t="s">
        <v>176</v>
      </c>
      <c r="B106" s="22" t="s">
        <v>517</v>
      </c>
      <c r="C106" s="22" t="s">
        <v>165</v>
      </c>
      <c r="D106" s="22" t="s">
        <v>184</v>
      </c>
      <c r="E106" s="30" t="s">
        <v>142</v>
      </c>
      <c r="F106" s="23">
        <v>240</v>
      </c>
      <c r="G106" s="31">
        <f>1210-116</f>
        <v>1094</v>
      </c>
      <c r="H106" s="31">
        <v>1093.7</v>
      </c>
      <c r="I106" s="31">
        <f t="shared" si="7"/>
        <v>99.972577696526514</v>
      </c>
    </row>
    <row r="107" spans="1:9" ht="24" x14ac:dyDescent="0.2">
      <c r="A107" s="64" t="s">
        <v>331</v>
      </c>
      <c r="B107" s="16" t="s">
        <v>517</v>
      </c>
      <c r="C107" s="16" t="s">
        <v>165</v>
      </c>
      <c r="D107" s="16" t="s">
        <v>184</v>
      </c>
      <c r="E107" s="33" t="s">
        <v>143</v>
      </c>
      <c r="F107" s="28"/>
      <c r="G107" s="32">
        <f>G108</f>
        <v>130</v>
      </c>
      <c r="H107" s="32">
        <f>H108</f>
        <v>126.5</v>
      </c>
      <c r="I107" s="32">
        <f t="shared" si="7"/>
        <v>97.307692307692307</v>
      </c>
    </row>
    <row r="108" spans="1:9" x14ac:dyDescent="0.2">
      <c r="A108" s="68" t="s">
        <v>378</v>
      </c>
      <c r="B108" s="22" t="s">
        <v>517</v>
      </c>
      <c r="C108" s="22" t="s">
        <v>165</v>
      </c>
      <c r="D108" s="22" t="s">
        <v>184</v>
      </c>
      <c r="E108" s="30" t="s">
        <v>143</v>
      </c>
      <c r="F108" s="23">
        <v>200</v>
      </c>
      <c r="G108" s="31">
        <f>G109</f>
        <v>130</v>
      </c>
      <c r="H108" s="31">
        <f>H109</f>
        <v>126.5</v>
      </c>
      <c r="I108" s="31">
        <f t="shared" si="7"/>
        <v>97.307692307692307</v>
      </c>
    </row>
    <row r="109" spans="1:9" ht="15" customHeight="1" x14ac:dyDescent="0.2">
      <c r="A109" s="68" t="s">
        <v>176</v>
      </c>
      <c r="B109" s="22" t="s">
        <v>517</v>
      </c>
      <c r="C109" s="22" t="s">
        <v>165</v>
      </c>
      <c r="D109" s="22" t="s">
        <v>184</v>
      </c>
      <c r="E109" s="30" t="s">
        <v>143</v>
      </c>
      <c r="F109" s="23">
        <v>240</v>
      </c>
      <c r="G109" s="31">
        <v>130</v>
      </c>
      <c r="H109" s="31">
        <v>126.5</v>
      </c>
      <c r="I109" s="31">
        <f t="shared" si="7"/>
        <v>97.307692307692307</v>
      </c>
    </row>
    <row r="110" spans="1:9" ht="13.5" x14ac:dyDescent="0.2">
      <c r="A110" s="70" t="s">
        <v>116</v>
      </c>
      <c r="B110" s="43" t="s">
        <v>517</v>
      </c>
      <c r="C110" s="43" t="s">
        <v>165</v>
      </c>
      <c r="D110" s="43" t="s">
        <v>184</v>
      </c>
      <c r="E110" s="77" t="s">
        <v>117</v>
      </c>
      <c r="F110" s="48"/>
      <c r="G110" s="47">
        <f>G111+G114</f>
        <v>1555</v>
      </c>
      <c r="H110" s="47">
        <f>H111+H114</f>
        <v>1553.25</v>
      </c>
      <c r="I110" s="47">
        <f t="shared" si="7"/>
        <v>99.887459807073952</v>
      </c>
    </row>
    <row r="111" spans="1:9" x14ac:dyDescent="0.2">
      <c r="A111" s="64" t="s">
        <v>332</v>
      </c>
      <c r="B111" s="16" t="s">
        <v>517</v>
      </c>
      <c r="C111" s="16" t="s">
        <v>165</v>
      </c>
      <c r="D111" s="16" t="s">
        <v>184</v>
      </c>
      <c r="E111" s="16" t="s">
        <v>144</v>
      </c>
      <c r="F111" s="28"/>
      <c r="G111" s="32">
        <f>G112</f>
        <v>204</v>
      </c>
      <c r="H111" s="32">
        <f>H112</f>
        <v>202.45</v>
      </c>
      <c r="I111" s="32">
        <f t="shared" si="7"/>
        <v>99.240196078431367</v>
      </c>
    </row>
    <row r="112" spans="1:9" x14ac:dyDescent="0.2">
      <c r="A112" s="68" t="s">
        <v>378</v>
      </c>
      <c r="B112" s="22" t="s">
        <v>517</v>
      </c>
      <c r="C112" s="22" t="s">
        <v>165</v>
      </c>
      <c r="D112" s="22" t="s">
        <v>184</v>
      </c>
      <c r="E112" s="30" t="s">
        <v>144</v>
      </c>
      <c r="F112" s="23">
        <v>200</v>
      </c>
      <c r="G112" s="31">
        <f>G113</f>
        <v>204</v>
      </c>
      <c r="H112" s="31">
        <f>H113</f>
        <v>202.45</v>
      </c>
      <c r="I112" s="31">
        <f t="shared" si="7"/>
        <v>99.240196078431367</v>
      </c>
    </row>
    <row r="113" spans="1:9" ht="15" customHeight="1" x14ac:dyDescent="0.2">
      <c r="A113" s="68" t="s">
        <v>176</v>
      </c>
      <c r="B113" s="22" t="s">
        <v>517</v>
      </c>
      <c r="C113" s="22" t="s">
        <v>165</v>
      </c>
      <c r="D113" s="22" t="s">
        <v>184</v>
      </c>
      <c r="E113" s="30" t="s">
        <v>144</v>
      </c>
      <c r="F113" s="23">
        <v>240</v>
      </c>
      <c r="G113" s="31">
        <f>367-163</f>
        <v>204</v>
      </c>
      <c r="H113" s="31">
        <v>202.45</v>
      </c>
      <c r="I113" s="31">
        <f t="shared" si="7"/>
        <v>99.240196078431367</v>
      </c>
    </row>
    <row r="114" spans="1:9" ht="12.75" customHeight="1" x14ac:dyDescent="0.2">
      <c r="A114" s="61" t="s">
        <v>118</v>
      </c>
      <c r="B114" s="16" t="s">
        <v>517</v>
      </c>
      <c r="C114" s="16" t="s">
        <v>165</v>
      </c>
      <c r="D114" s="16" t="s">
        <v>184</v>
      </c>
      <c r="E114" s="16" t="s">
        <v>145</v>
      </c>
      <c r="F114" s="28"/>
      <c r="G114" s="32">
        <f>G115</f>
        <v>1351</v>
      </c>
      <c r="H114" s="32">
        <f>H115</f>
        <v>1350.8</v>
      </c>
      <c r="I114" s="32">
        <f t="shared" si="7"/>
        <v>99.985196150999258</v>
      </c>
    </row>
    <row r="115" spans="1:9" x14ac:dyDescent="0.2">
      <c r="A115" s="68" t="s">
        <v>378</v>
      </c>
      <c r="B115" s="22" t="s">
        <v>517</v>
      </c>
      <c r="C115" s="22" t="s">
        <v>165</v>
      </c>
      <c r="D115" s="22" t="s">
        <v>184</v>
      </c>
      <c r="E115" s="30" t="s">
        <v>145</v>
      </c>
      <c r="F115" s="23">
        <v>200</v>
      </c>
      <c r="G115" s="31">
        <f>G116</f>
        <v>1351</v>
      </c>
      <c r="H115" s="31">
        <f>H116</f>
        <v>1350.8</v>
      </c>
      <c r="I115" s="31">
        <f t="shared" si="7"/>
        <v>99.985196150999258</v>
      </c>
    </row>
    <row r="116" spans="1:9" ht="15" customHeight="1" x14ac:dyDescent="0.2">
      <c r="A116" s="68" t="s">
        <v>176</v>
      </c>
      <c r="B116" s="22" t="s">
        <v>517</v>
      </c>
      <c r="C116" s="22" t="s">
        <v>165</v>
      </c>
      <c r="D116" s="22" t="s">
        <v>184</v>
      </c>
      <c r="E116" s="30" t="s">
        <v>145</v>
      </c>
      <c r="F116" s="23">
        <v>240</v>
      </c>
      <c r="G116" s="31">
        <f>480+900-29</f>
        <v>1351</v>
      </c>
      <c r="H116" s="31">
        <v>1350.8</v>
      </c>
      <c r="I116" s="31">
        <f t="shared" si="7"/>
        <v>99.985196150999258</v>
      </c>
    </row>
    <row r="117" spans="1:9" ht="27" x14ac:dyDescent="0.2">
      <c r="A117" s="70" t="s">
        <v>571</v>
      </c>
      <c r="B117" s="43" t="s">
        <v>517</v>
      </c>
      <c r="C117" s="43" t="s">
        <v>165</v>
      </c>
      <c r="D117" s="43" t="s">
        <v>184</v>
      </c>
      <c r="E117" s="77" t="s">
        <v>570</v>
      </c>
      <c r="F117" s="48"/>
      <c r="G117" s="47">
        <f>G118+G121</f>
        <v>5204</v>
      </c>
      <c r="H117" s="47">
        <f>H118+H121</f>
        <v>3887.6</v>
      </c>
      <c r="I117" s="47">
        <f t="shared" si="7"/>
        <v>74.70407378939278</v>
      </c>
    </row>
    <row r="118" spans="1:9" ht="24" x14ac:dyDescent="0.2">
      <c r="A118" s="64" t="s">
        <v>572</v>
      </c>
      <c r="B118" s="16" t="s">
        <v>517</v>
      </c>
      <c r="C118" s="16" t="s">
        <v>165</v>
      </c>
      <c r="D118" s="16" t="s">
        <v>184</v>
      </c>
      <c r="E118" s="33" t="s">
        <v>573</v>
      </c>
      <c r="F118" s="28"/>
      <c r="G118" s="32">
        <f>G119</f>
        <v>2380</v>
      </c>
      <c r="H118" s="32">
        <f>H119</f>
        <v>2380</v>
      </c>
      <c r="I118" s="32">
        <f t="shared" si="7"/>
        <v>100</v>
      </c>
    </row>
    <row r="119" spans="1:9" x14ac:dyDescent="0.2">
      <c r="A119" s="68" t="s">
        <v>378</v>
      </c>
      <c r="B119" s="22" t="s">
        <v>517</v>
      </c>
      <c r="C119" s="22" t="s">
        <v>165</v>
      </c>
      <c r="D119" s="22" t="s">
        <v>184</v>
      </c>
      <c r="E119" s="30" t="s">
        <v>573</v>
      </c>
      <c r="F119" s="23">
        <v>200</v>
      </c>
      <c r="G119" s="31">
        <f>G120</f>
        <v>2380</v>
      </c>
      <c r="H119" s="31">
        <f>H120</f>
        <v>2380</v>
      </c>
      <c r="I119" s="31">
        <f t="shared" si="7"/>
        <v>100</v>
      </c>
    </row>
    <row r="120" spans="1:9" ht="15" customHeight="1" x14ac:dyDescent="0.2">
      <c r="A120" s="68" t="s">
        <v>176</v>
      </c>
      <c r="B120" s="22" t="s">
        <v>517</v>
      </c>
      <c r="C120" s="22" t="s">
        <v>165</v>
      </c>
      <c r="D120" s="22" t="s">
        <v>184</v>
      </c>
      <c r="E120" s="30" t="s">
        <v>573</v>
      </c>
      <c r="F120" s="23">
        <v>240</v>
      </c>
      <c r="G120" s="31">
        <f>4165-2000+215</f>
        <v>2380</v>
      </c>
      <c r="H120" s="31">
        <v>2380</v>
      </c>
      <c r="I120" s="31">
        <f t="shared" si="7"/>
        <v>100</v>
      </c>
    </row>
    <row r="121" spans="1:9" ht="24" x14ac:dyDescent="0.2">
      <c r="A121" s="64" t="s">
        <v>574</v>
      </c>
      <c r="B121" s="16" t="s">
        <v>517</v>
      </c>
      <c r="C121" s="16" t="s">
        <v>165</v>
      </c>
      <c r="D121" s="16" t="s">
        <v>184</v>
      </c>
      <c r="E121" s="33" t="s">
        <v>575</v>
      </c>
      <c r="F121" s="28"/>
      <c r="G121" s="32">
        <f>G122</f>
        <v>2824</v>
      </c>
      <c r="H121" s="32">
        <f>H122</f>
        <v>1507.6</v>
      </c>
      <c r="I121" s="32">
        <f t="shared" si="7"/>
        <v>53.385269121813025</v>
      </c>
    </row>
    <row r="122" spans="1:9" x14ac:dyDescent="0.2">
      <c r="A122" s="68" t="s">
        <v>378</v>
      </c>
      <c r="B122" s="22" t="s">
        <v>517</v>
      </c>
      <c r="C122" s="22" t="s">
        <v>165</v>
      </c>
      <c r="D122" s="22" t="s">
        <v>184</v>
      </c>
      <c r="E122" s="30" t="s">
        <v>575</v>
      </c>
      <c r="F122" s="23">
        <v>200</v>
      </c>
      <c r="G122" s="31">
        <f>G123</f>
        <v>2824</v>
      </c>
      <c r="H122" s="31">
        <f>H123</f>
        <v>1507.6</v>
      </c>
      <c r="I122" s="31">
        <f t="shared" si="7"/>
        <v>53.385269121813025</v>
      </c>
    </row>
    <row r="123" spans="1:9" ht="15" customHeight="1" x14ac:dyDescent="0.2">
      <c r="A123" s="68" t="s">
        <v>176</v>
      </c>
      <c r="B123" s="22" t="s">
        <v>517</v>
      </c>
      <c r="C123" s="22" t="s">
        <v>165</v>
      </c>
      <c r="D123" s="22" t="s">
        <v>184</v>
      </c>
      <c r="E123" s="30" t="s">
        <v>575</v>
      </c>
      <c r="F123" s="23">
        <v>240</v>
      </c>
      <c r="G123" s="31">
        <f>20+4400-141-1240-215</f>
        <v>2824</v>
      </c>
      <c r="H123" s="31">
        <v>1507.6</v>
      </c>
      <c r="I123" s="31">
        <f t="shared" si="7"/>
        <v>53.385269121813025</v>
      </c>
    </row>
    <row r="124" spans="1:9" ht="27" x14ac:dyDescent="0.2">
      <c r="A124" s="70" t="s">
        <v>374</v>
      </c>
      <c r="B124" s="43" t="s">
        <v>517</v>
      </c>
      <c r="C124" s="43" t="s">
        <v>165</v>
      </c>
      <c r="D124" s="43" t="s">
        <v>184</v>
      </c>
      <c r="E124" s="77" t="s">
        <v>317</v>
      </c>
      <c r="F124" s="48"/>
      <c r="G124" s="99">
        <f t="shared" ref="G124:H126" si="8">G125</f>
        <v>183</v>
      </c>
      <c r="H124" s="99">
        <f t="shared" si="8"/>
        <v>182.922</v>
      </c>
      <c r="I124" s="47">
        <f t="shared" si="7"/>
        <v>99.957377049180323</v>
      </c>
    </row>
    <row r="125" spans="1:9" ht="24" customHeight="1" x14ac:dyDescent="0.2">
      <c r="A125" s="64" t="s">
        <v>333</v>
      </c>
      <c r="B125" s="16" t="s">
        <v>517</v>
      </c>
      <c r="C125" s="16" t="s">
        <v>165</v>
      </c>
      <c r="D125" s="16" t="s">
        <v>184</v>
      </c>
      <c r="E125" s="33" t="s">
        <v>146</v>
      </c>
      <c r="F125" s="28"/>
      <c r="G125" s="95">
        <f t="shared" si="8"/>
        <v>183</v>
      </c>
      <c r="H125" s="95">
        <f t="shared" si="8"/>
        <v>182.922</v>
      </c>
      <c r="I125" s="32">
        <f t="shared" si="7"/>
        <v>99.957377049180323</v>
      </c>
    </row>
    <row r="126" spans="1:9" x14ac:dyDescent="0.2">
      <c r="A126" s="68" t="s">
        <v>378</v>
      </c>
      <c r="B126" s="22" t="s">
        <v>517</v>
      </c>
      <c r="C126" s="22" t="s">
        <v>165</v>
      </c>
      <c r="D126" s="22" t="s">
        <v>184</v>
      </c>
      <c r="E126" s="30" t="s">
        <v>146</v>
      </c>
      <c r="F126" s="23">
        <v>200</v>
      </c>
      <c r="G126" s="96">
        <f t="shared" si="8"/>
        <v>183</v>
      </c>
      <c r="H126" s="96">
        <f t="shared" si="8"/>
        <v>182.922</v>
      </c>
      <c r="I126" s="31">
        <f t="shared" si="7"/>
        <v>99.957377049180323</v>
      </c>
    </row>
    <row r="127" spans="1:9" ht="15" customHeight="1" x14ac:dyDescent="0.2">
      <c r="A127" s="68" t="s">
        <v>176</v>
      </c>
      <c r="B127" s="22" t="s">
        <v>517</v>
      </c>
      <c r="C127" s="22" t="s">
        <v>165</v>
      </c>
      <c r="D127" s="22" t="s">
        <v>184</v>
      </c>
      <c r="E127" s="30" t="s">
        <v>146</v>
      </c>
      <c r="F127" s="23">
        <v>240</v>
      </c>
      <c r="G127" s="96">
        <f>1720-1537</f>
        <v>183</v>
      </c>
      <c r="H127" s="96">
        <v>182.922</v>
      </c>
      <c r="I127" s="31">
        <f t="shared" si="7"/>
        <v>99.957377049180323</v>
      </c>
    </row>
    <row r="128" spans="1:9" s="39" customFormat="1" x14ac:dyDescent="0.2">
      <c r="A128" s="64" t="s">
        <v>407</v>
      </c>
      <c r="B128" s="16">
        <v>598</v>
      </c>
      <c r="C128" s="16" t="s">
        <v>591</v>
      </c>
      <c r="D128" s="16" t="s">
        <v>166</v>
      </c>
      <c r="E128" s="16"/>
      <c r="F128" s="16"/>
      <c r="G128" s="32">
        <f t="shared" ref="G128:H130" si="9">G129</f>
        <v>3655.6</v>
      </c>
      <c r="H128" s="32">
        <f t="shared" si="9"/>
        <v>3638.6539999999995</v>
      </c>
      <c r="I128" s="32">
        <f t="shared" si="7"/>
        <v>99.536437246963544</v>
      </c>
    </row>
    <row r="129" spans="1:9" s="40" customFormat="1" ht="24" x14ac:dyDescent="0.2">
      <c r="A129" s="64" t="s">
        <v>474</v>
      </c>
      <c r="B129" s="16" t="s">
        <v>517</v>
      </c>
      <c r="C129" s="16" t="s">
        <v>591</v>
      </c>
      <c r="D129" s="16" t="s">
        <v>592</v>
      </c>
      <c r="E129" s="16"/>
      <c r="F129" s="16"/>
      <c r="G129" s="32">
        <f t="shared" si="9"/>
        <v>3655.6</v>
      </c>
      <c r="H129" s="32">
        <f t="shared" si="9"/>
        <v>3638.6539999999995</v>
      </c>
      <c r="I129" s="32">
        <f t="shared" si="7"/>
        <v>99.536437246963544</v>
      </c>
    </row>
    <row r="130" spans="1:9" s="40" customFormat="1" x14ac:dyDescent="0.2">
      <c r="A130" s="67" t="s">
        <v>567</v>
      </c>
      <c r="B130" s="17">
        <v>598</v>
      </c>
      <c r="C130" s="17" t="s">
        <v>591</v>
      </c>
      <c r="D130" s="17" t="s">
        <v>592</v>
      </c>
      <c r="E130" s="17" t="s">
        <v>293</v>
      </c>
      <c r="F130" s="17"/>
      <c r="G130" s="35">
        <f t="shared" si="9"/>
        <v>3655.6</v>
      </c>
      <c r="H130" s="35">
        <f t="shared" si="9"/>
        <v>3638.6539999999995</v>
      </c>
      <c r="I130" s="35">
        <f t="shared" si="7"/>
        <v>99.536437246963544</v>
      </c>
    </row>
    <row r="131" spans="1:9" s="40" customFormat="1" x14ac:dyDescent="0.2">
      <c r="A131" s="64" t="s">
        <v>381</v>
      </c>
      <c r="B131" s="16">
        <v>598</v>
      </c>
      <c r="C131" s="16" t="s">
        <v>591</v>
      </c>
      <c r="D131" s="16" t="s">
        <v>592</v>
      </c>
      <c r="E131" s="16" t="s">
        <v>294</v>
      </c>
      <c r="F131" s="16"/>
      <c r="G131" s="32">
        <f>G132</f>
        <v>3655.6</v>
      </c>
      <c r="H131" s="32">
        <f>H132</f>
        <v>3638.6539999999995</v>
      </c>
      <c r="I131" s="32">
        <f t="shared" si="7"/>
        <v>99.536437246963544</v>
      </c>
    </row>
    <row r="132" spans="1:9" x14ac:dyDescent="0.2">
      <c r="A132" s="69" t="s">
        <v>593</v>
      </c>
      <c r="B132" s="25" t="s">
        <v>517</v>
      </c>
      <c r="C132" s="25" t="s">
        <v>591</v>
      </c>
      <c r="D132" s="25" t="s">
        <v>592</v>
      </c>
      <c r="E132" s="25" t="s">
        <v>294</v>
      </c>
      <c r="F132" s="25"/>
      <c r="G132" s="85">
        <f>G133</f>
        <v>3655.6</v>
      </c>
      <c r="H132" s="85">
        <f>H133</f>
        <v>3638.6539999999995</v>
      </c>
      <c r="I132" s="85">
        <f t="shared" ref="I132:I146" si="10">H132/G132*100</f>
        <v>99.536437246963544</v>
      </c>
    </row>
    <row r="133" spans="1:9" x14ac:dyDescent="0.2">
      <c r="A133" s="64" t="s">
        <v>119</v>
      </c>
      <c r="B133" s="16" t="s">
        <v>517</v>
      </c>
      <c r="C133" s="16" t="s">
        <v>591</v>
      </c>
      <c r="D133" s="16" t="s">
        <v>592</v>
      </c>
      <c r="E133" s="16" t="s">
        <v>442</v>
      </c>
      <c r="F133" s="16"/>
      <c r="G133" s="32">
        <f>G134+G136+G138</f>
        <v>3655.6</v>
      </c>
      <c r="H133" s="32">
        <f>H134+H136+H138</f>
        <v>3638.6539999999995</v>
      </c>
      <c r="I133" s="32">
        <f t="shared" si="10"/>
        <v>99.536437246963544</v>
      </c>
    </row>
    <row r="134" spans="1:9" ht="36" x14ac:dyDescent="0.2">
      <c r="A134" s="68" t="s">
        <v>168</v>
      </c>
      <c r="B134" s="22" t="s">
        <v>517</v>
      </c>
      <c r="C134" s="22" t="s">
        <v>591</v>
      </c>
      <c r="D134" s="22" t="s">
        <v>592</v>
      </c>
      <c r="E134" s="22" t="s">
        <v>442</v>
      </c>
      <c r="F134" s="22" t="s">
        <v>169</v>
      </c>
      <c r="G134" s="31">
        <f>G135</f>
        <v>3374</v>
      </c>
      <c r="H134" s="31">
        <f>H135</f>
        <v>3374</v>
      </c>
      <c r="I134" s="31">
        <f t="shared" si="10"/>
        <v>100</v>
      </c>
    </row>
    <row r="135" spans="1:9" x14ac:dyDescent="0.2">
      <c r="A135" s="68" t="s">
        <v>594</v>
      </c>
      <c r="B135" s="22" t="s">
        <v>517</v>
      </c>
      <c r="C135" s="22" t="s">
        <v>591</v>
      </c>
      <c r="D135" s="22" t="s">
        <v>592</v>
      </c>
      <c r="E135" s="22" t="s">
        <v>442</v>
      </c>
      <c r="F135" s="22" t="s">
        <v>595</v>
      </c>
      <c r="G135" s="31">
        <f>2550+54+770</f>
        <v>3374</v>
      </c>
      <c r="H135" s="31">
        <v>3374</v>
      </c>
      <c r="I135" s="31">
        <f t="shared" si="10"/>
        <v>100</v>
      </c>
    </row>
    <row r="136" spans="1:9" x14ac:dyDescent="0.2">
      <c r="A136" s="68" t="s">
        <v>378</v>
      </c>
      <c r="B136" s="22" t="s">
        <v>517</v>
      </c>
      <c r="C136" s="22" t="s">
        <v>591</v>
      </c>
      <c r="D136" s="22" t="s">
        <v>592</v>
      </c>
      <c r="E136" s="22" t="s">
        <v>442</v>
      </c>
      <c r="F136" s="22" t="s">
        <v>175</v>
      </c>
      <c r="G136" s="31">
        <f>G137</f>
        <v>271</v>
      </c>
      <c r="H136" s="31">
        <f>H137</f>
        <v>259.10599999999999</v>
      </c>
      <c r="I136" s="31">
        <f t="shared" si="10"/>
        <v>95.611070110701107</v>
      </c>
    </row>
    <row r="137" spans="1:9" ht="15" customHeight="1" x14ac:dyDescent="0.2">
      <c r="A137" s="68" t="s">
        <v>176</v>
      </c>
      <c r="B137" s="22" t="s">
        <v>517</v>
      </c>
      <c r="C137" s="22" t="s">
        <v>591</v>
      </c>
      <c r="D137" s="22" t="s">
        <v>592</v>
      </c>
      <c r="E137" s="22" t="s">
        <v>442</v>
      </c>
      <c r="F137" s="22" t="s">
        <v>177</v>
      </c>
      <c r="G137" s="31">
        <f>171+100</f>
        <v>271</v>
      </c>
      <c r="H137" s="31">
        <v>259.10599999999999</v>
      </c>
      <c r="I137" s="31">
        <f t="shared" si="10"/>
        <v>95.611070110701107</v>
      </c>
    </row>
    <row r="138" spans="1:9" x14ac:dyDescent="0.2">
      <c r="A138" s="68" t="s">
        <v>178</v>
      </c>
      <c r="B138" s="22" t="s">
        <v>517</v>
      </c>
      <c r="C138" s="22" t="s">
        <v>591</v>
      </c>
      <c r="D138" s="22" t="s">
        <v>592</v>
      </c>
      <c r="E138" s="22" t="s">
        <v>442</v>
      </c>
      <c r="F138" s="22" t="s">
        <v>179</v>
      </c>
      <c r="G138" s="31">
        <f>G139</f>
        <v>10.6</v>
      </c>
      <c r="H138" s="31">
        <f>H139</f>
        <v>5.548</v>
      </c>
      <c r="I138" s="31">
        <f t="shared" si="10"/>
        <v>52.339622641509429</v>
      </c>
    </row>
    <row r="139" spans="1:9" x14ac:dyDescent="0.2">
      <c r="A139" s="68" t="s">
        <v>233</v>
      </c>
      <c r="B139" s="22" t="s">
        <v>517</v>
      </c>
      <c r="C139" s="22" t="s">
        <v>591</v>
      </c>
      <c r="D139" s="22" t="s">
        <v>592</v>
      </c>
      <c r="E139" s="22" t="s">
        <v>442</v>
      </c>
      <c r="F139" s="22" t="s">
        <v>180</v>
      </c>
      <c r="G139" s="31">
        <f>3+7.6</f>
        <v>10.6</v>
      </c>
      <c r="H139" s="31">
        <v>5.548</v>
      </c>
      <c r="I139" s="31">
        <f t="shared" si="10"/>
        <v>52.339622641509429</v>
      </c>
    </row>
    <row r="140" spans="1:9" x14ac:dyDescent="0.2">
      <c r="A140" s="64" t="s">
        <v>475</v>
      </c>
      <c r="B140" s="16" t="s">
        <v>517</v>
      </c>
      <c r="C140" s="16" t="s">
        <v>167</v>
      </c>
      <c r="D140" s="16" t="s">
        <v>166</v>
      </c>
      <c r="E140" s="16"/>
      <c r="F140" s="16"/>
      <c r="G140" s="32">
        <f>G145+G141</f>
        <v>11759.485000000001</v>
      </c>
      <c r="H140" s="32">
        <f>H145+H141</f>
        <v>11709.485000000001</v>
      </c>
      <c r="I140" s="32">
        <f t="shared" si="10"/>
        <v>99.574811311889931</v>
      </c>
    </row>
    <row r="141" spans="1:9" x14ac:dyDescent="0.2">
      <c r="A141" s="64" t="s">
        <v>467</v>
      </c>
      <c r="B141" s="16" t="s">
        <v>517</v>
      </c>
      <c r="C141" s="16" t="s">
        <v>167</v>
      </c>
      <c r="D141" s="16" t="s">
        <v>165</v>
      </c>
      <c r="E141" s="16"/>
      <c r="F141" s="16"/>
      <c r="G141" s="32">
        <f t="shared" ref="G141:H143" si="11">G142</f>
        <v>739.48500000000001</v>
      </c>
      <c r="H141" s="32">
        <f t="shared" si="11"/>
        <v>739.48500000000001</v>
      </c>
      <c r="I141" s="32">
        <f t="shared" si="10"/>
        <v>100</v>
      </c>
    </row>
    <row r="142" spans="1:9" ht="24" x14ac:dyDescent="0.2">
      <c r="A142" s="64" t="s">
        <v>468</v>
      </c>
      <c r="B142" s="16" t="s">
        <v>517</v>
      </c>
      <c r="C142" s="16" t="s">
        <v>167</v>
      </c>
      <c r="D142" s="16" t="s">
        <v>165</v>
      </c>
      <c r="E142" s="16" t="s">
        <v>469</v>
      </c>
      <c r="F142" s="16"/>
      <c r="G142" s="32">
        <f t="shared" si="11"/>
        <v>739.48500000000001</v>
      </c>
      <c r="H142" s="32">
        <f t="shared" si="11"/>
        <v>739.48500000000001</v>
      </c>
      <c r="I142" s="32">
        <f t="shared" si="10"/>
        <v>100</v>
      </c>
    </row>
    <row r="143" spans="1:9" ht="36" x14ac:dyDescent="0.2">
      <c r="A143" s="68" t="s">
        <v>168</v>
      </c>
      <c r="B143" s="22" t="s">
        <v>517</v>
      </c>
      <c r="C143" s="22" t="s">
        <v>167</v>
      </c>
      <c r="D143" s="22" t="s">
        <v>165</v>
      </c>
      <c r="E143" s="22" t="s">
        <v>469</v>
      </c>
      <c r="F143" s="22" t="s">
        <v>169</v>
      </c>
      <c r="G143" s="31">
        <f t="shared" si="11"/>
        <v>739.48500000000001</v>
      </c>
      <c r="H143" s="31">
        <f t="shared" si="11"/>
        <v>739.48500000000001</v>
      </c>
      <c r="I143" s="31">
        <f t="shared" si="10"/>
        <v>100</v>
      </c>
    </row>
    <row r="144" spans="1:9" x14ac:dyDescent="0.2">
      <c r="A144" s="68" t="s">
        <v>170</v>
      </c>
      <c r="B144" s="22" t="s">
        <v>517</v>
      </c>
      <c r="C144" s="22" t="s">
        <v>167</v>
      </c>
      <c r="D144" s="22" t="s">
        <v>165</v>
      </c>
      <c r="E144" s="22" t="s">
        <v>469</v>
      </c>
      <c r="F144" s="22" t="s">
        <v>173</v>
      </c>
      <c r="G144" s="31">
        <f>166.005+573.48</f>
        <v>739.48500000000001</v>
      </c>
      <c r="H144" s="31">
        <v>739.48500000000001</v>
      </c>
      <c r="I144" s="31">
        <f t="shared" si="10"/>
        <v>100</v>
      </c>
    </row>
    <row r="145" spans="1:9" x14ac:dyDescent="0.2">
      <c r="A145" s="64" t="s">
        <v>518</v>
      </c>
      <c r="B145" s="16" t="s">
        <v>517</v>
      </c>
      <c r="C145" s="16" t="s">
        <v>167</v>
      </c>
      <c r="D145" s="16" t="s">
        <v>597</v>
      </c>
      <c r="E145" s="30"/>
      <c r="F145" s="22"/>
      <c r="G145" s="32">
        <f>G146+G150</f>
        <v>11020</v>
      </c>
      <c r="H145" s="32">
        <f>H146+H150</f>
        <v>10970</v>
      </c>
      <c r="I145" s="32">
        <f t="shared" si="10"/>
        <v>99.546279491833033</v>
      </c>
    </row>
    <row r="146" spans="1:9" ht="40.5" x14ac:dyDescent="0.2">
      <c r="A146" s="70" t="s">
        <v>519</v>
      </c>
      <c r="B146" s="43" t="s">
        <v>517</v>
      </c>
      <c r="C146" s="43" t="s">
        <v>167</v>
      </c>
      <c r="D146" s="43" t="s">
        <v>597</v>
      </c>
      <c r="E146" s="43" t="s">
        <v>298</v>
      </c>
      <c r="F146" s="43"/>
      <c r="G146" s="93">
        <f>+G147</f>
        <v>170</v>
      </c>
      <c r="H146" s="93">
        <f>+H147</f>
        <v>170</v>
      </c>
      <c r="I146" s="35">
        <f t="shared" si="10"/>
        <v>100</v>
      </c>
    </row>
    <row r="147" spans="1:9" ht="48" x14ac:dyDescent="0.2">
      <c r="A147" s="50" t="s">
        <v>14</v>
      </c>
      <c r="B147" s="16" t="s">
        <v>517</v>
      </c>
      <c r="C147" s="16" t="s">
        <v>167</v>
      </c>
      <c r="D147" s="16" t="s">
        <v>597</v>
      </c>
      <c r="E147" s="16" t="s">
        <v>21</v>
      </c>
      <c r="F147" s="16"/>
      <c r="G147" s="27">
        <f>G148</f>
        <v>170</v>
      </c>
      <c r="H147" s="27">
        <f>H148</f>
        <v>170</v>
      </c>
      <c r="I147" s="32">
        <f>H147/G147*100</f>
        <v>100</v>
      </c>
    </row>
    <row r="148" spans="1:9" x14ac:dyDescent="0.2">
      <c r="A148" s="68" t="s">
        <v>378</v>
      </c>
      <c r="B148" s="22" t="s">
        <v>517</v>
      </c>
      <c r="C148" s="22" t="s">
        <v>167</v>
      </c>
      <c r="D148" s="22" t="s">
        <v>597</v>
      </c>
      <c r="E148" s="22" t="s">
        <v>21</v>
      </c>
      <c r="F148" s="22" t="s">
        <v>175</v>
      </c>
      <c r="G148" s="94">
        <f>G149</f>
        <v>170</v>
      </c>
      <c r="H148" s="94">
        <f>H149</f>
        <v>170</v>
      </c>
      <c r="I148" s="31">
        <f>H148/G148*100</f>
        <v>100</v>
      </c>
    </row>
    <row r="149" spans="1:9" ht="15" customHeight="1" x14ac:dyDescent="0.2">
      <c r="A149" s="68" t="s">
        <v>176</v>
      </c>
      <c r="B149" s="23">
        <v>598</v>
      </c>
      <c r="C149" s="22" t="s">
        <v>167</v>
      </c>
      <c r="D149" s="22" t="s">
        <v>597</v>
      </c>
      <c r="E149" s="22" t="s">
        <v>21</v>
      </c>
      <c r="F149" s="22" t="s">
        <v>177</v>
      </c>
      <c r="G149" s="94">
        <f>300-130</f>
        <v>170</v>
      </c>
      <c r="H149" s="94">
        <v>170</v>
      </c>
      <c r="I149" s="31">
        <f>H149/G149*100</f>
        <v>100</v>
      </c>
    </row>
    <row r="150" spans="1:9" x14ac:dyDescent="0.2">
      <c r="A150" s="65" t="s">
        <v>163</v>
      </c>
      <c r="B150" s="17" t="s">
        <v>517</v>
      </c>
      <c r="C150" s="17" t="s">
        <v>167</v>
      </c>
      <c r="D150" s="17" t="s">
        <v>597</v>
      </c>
      <c r="E150" s="17" t="s">
        <v>293</v>
      </c>
      <c r="F150" s="17"/>
      <c r="G150" s="35">
        <f>G151</f>
        <v>10850</v>
      </c>
      <c r="H150" s="35">
        <f>H151</f>
        <v>10800</v>
      </c>
      <c r="I150" s="35">
        <f t="shared" ref="I150:I213" si="12">H150/G150*100</f>
        <v>99.539170506912441</v>
      </c>
    </row>
    <row r="151" spans="1:9" x14ac:dyDescent="0.2">
      <c r="A151" s="64" t="s">
        <v>381</v>
      </c>
      <c r="B151" s="28">
        <v>598</v>
      </c>
      <c r="C151" s="16" t="s">
        <v>167</v>
      </c>
      <c r="D151" s="16" t="s">
        <v>597</v>
      </c>
      <c r="E151" s="16" t="s">
        <v>294</v>
      </c>
      <c r="F151" s="16"/>
      <c r="G151" s="32">
        <f>G152+G155</f>
        <v>10850</v>
      </c>
      <c r="H151" s="32">
        <f>H152+H155</f>
        <v>10800</v>
      </c>
      <c r="I151" s="32">
        <f t="shared" si="12"/>
        <v>99.539170506912441</v>
      </c>
    </row>
    <row r="152" spans="1:9" ht="24" x14ac:dyDescent="0.2">
      <c r="A152" s="64" t="s">
        <v>22</v>
      </c>
      <c r="B152" s="28">
        <v>598</v>
      </c>
      <c r="C152" s="16" t="s">
        <v>167</v>
      </c>
      <c r="D152" s="16" t="s">
        <v>597</v>
      </c>
      <c r="E152" s="16" t="s">
        <v>24</v>
      </c>
      <c r="F152" s="16"/>
      <c r="G152" s="32">
        <f>G153</f>
        <v>10500</v>
      </c>
      <c r="H152" s="32">
        <f>H153</f>
        <v>10450</v>
      </c>
      <c r="I152" s="32">
        <f t="shared" si="12"/>
        <v>99.523809523809518</v>
      </c>
    </row>
    <row r="153" spans="1:9" x14ac:dyDescent="0.2">
      <c r="A153" s="68" t="s">
        <v>378</v>
      </c>
      <c r="B153" s="22" t="s">
        <v>517</v>
      </c>
      <c r="C153" s="22" t="s">
        <v>167</v>
      </c>
      <c r="D153" s="22" t="s">
        <v>597</v>
      </c>
      <c r="E153" s="22" t="s">
        <v>24</v>
      </c>
      <c r="F153" s="23">
        <v>200</v>
      </c>
      <c r="G153" s="31">
        <f>G154</f>
        <v>10500</v>
      </c>
      <c r="H153" s="31">
        <f>H154</f>
        <v>10450</v>
      </c>
      <c r="I153" s="31">
        <f t="shared" si="12"/>
        <v>99.523809523809518</v>
      </c>
    </row>
    <row r="154" spans="1:9" ht="15" customHeight="1" x14ac:dyDescent="0.2">
      <c r="A154" s="68" t="s">
        <v>176</v>
      </c>
      <c r="B154" s="23">
        <v>598</v>
      </c>
      <c r="C154" s="22" t="s">
        <v>167</v>
      </c>
      <c r="D154" s="22" t="s">
        <v>597</v>
      </c>
      <c r="E154" s="22" t="s">
        <v>24</v>
      </c>
      <c r="F154" s="22" t="s">
        <v>177</v>
      </c>
      <c r="G154" s="31">
        <f>13200-2700</f>
        <v>10500</v>
      </c>
      <c r="H154" s="31">
        <v>10450</v>
      </c>
      <c r="I154" s="31">
        <f t="shared" si="12"/>
        <v>99.523809523809518</v>
      </c>
    </row>
    <row r="155" spans="1:9" x14ac:dyDescent="0.2">
      <c r="A155" s="64" t="s">
        <v>23</v>
      </c>
      <c r="B155" s="16" t="s">
        <v>517</v>
      </c>
      <c r="C155" s="16" t="s">
        <v>167</v>
      </c>
      <c r="D155" s="16" t="s">
        <v>597</v>
      </c>
      <c r="E155" s="16" t="s">
        <v>25</v>
      </c>
      <c r="F155" s="16"/>
      <c r="G155" s="32">
        <f>G156</f>
        <v>350</v>
      </c>
      <c r="H155" s="32">
        <f>H156</f>
        <v>350</v>
      </c>
      <c r="I155" s="32">
        <f t="shared" si="12"/>
        <v>100</v>
      </c>
    </row>
    <row r="156" spans="1:9" x14ac:dyDescent="0.2">
      <c r="A156" s="68" t="s">
        <v>378</v>
      </c>
      <c r="B156" s="22" t="s">
        <v>517</v>
      </c>
      <c r="C156" s="22" t="s">
        <v>167</v>
      </c>
      <c r="D156" s="22" t="s">
        <v>597</v>
      </c>
      <c r="E156" s="22" t="s">
        <v>25</v>
      </c>
      <c r="F156" s="23">
        <v>200</v>
      </c>
      <c r="G156" s="31">
        <f>G157</f>
        <v>350</v>
      </c>
      <c r="H156" s="31">
        <f>H157</f>
        <v>350</v>
      </c>
      <c r="I156" s="31">
        <f t="shared" si="12"/>
        <v>100</v>
      </c>
    </row>
    <row r="157" spans="1:9" ht="15" customHeight="1" x14ac:dyDescent="0.2">
      <c r="A157" s="68" t="s">
        <v>176</v>
      </c>
      <c r="B157" s="23">
        <v>598</v>
      </c>
      <c r="C157" s="22" t="s">
        <v>167</v>
      </c>
      <c r="D157" s="22" t="s">
        <v>597</v>
      </c>
      <c r="E157" s="22" t="s">
        <v>25</v>
      </c>
      <c r="F157" s="22" t="s">
        <v>177</v>
      </c>
      <c r="G157" s="31">
        <f>1500-1150</f>
        <v>350</v>
      </c>
      <c r="H157" s="31">
        <v>350</v>
      </c>
      <c r="I157" s="31">
        <f t="shared" si="12"/>
        <v>100</v>
      </c>
    </row>
    <row r="158" spans="1:9" x14ac:dyDescent="0.2">
      <c r="A158" s="64" t="s">
        <v>520</v>
      </c>
      <c r="B158" s="16">
        <v>598</v>
      </c>
      <c r="C158" s="16" t="s">
        <v>88</v>
      </c>
      <c r="D158" s="16" t="s">
        <v>166</v>
      </c>
      <c r="E158" s="16"/>
      <c r="F158" s="16"/>
      <c r="G158" s="32">
        <f>G159+G165</f>
        <v>79707.682750000007</v>
      </c>
      <c r="H158" s="32">
        <f>H159+H165</f>
        <v>79707.601750000002</v>
      </c>
      <c r="I158" s="32">
        <f t="shared" si="12"/>
        <v>99.999898378679177</v>
      </c>
    </row>
    <row r="159" spans="1:9" x14ac:dyDescent="0.2">
      <c r="A159" s="64" t="s">
        <v>501</v>
      </c>
      <c r="B159" s="16" t="s">
        <v>517</v>
      </c>
      <c r="C159" s="16" t="s">
        <v>88</v>
      </c>
      <c r="D159" s="16" t="s">
        <v>165</v>
      </c>
      <c r="E159" s="16" t="s">
        <v>293</v>
      </c>
      <c r="F159" s="16"/>
      <c r="G159" s="32">
        <f t="shared" ref="G159:H163" si="13">G160</f>
        <v>15500</v>
      </c>
      <c r="H159" s="32">
        <f t="shared" si="13"/>
        <v>15500</v>
      </c>
      <c r="I159" s="32">
        <f t="shared" si="12"/>
        <v>100</v>
      </c>
    </row>
    <row r="160" spans="1:9" x14ac:dyDescent="0.2">
      <c r="A160" s="67" t="s">
        <v>567</v>
      </c>
      <c r="B160" s="17">
        <v>598</v>
      </c>
      <c r="C160" s="17" t="s">
        <v>88</v>
      </c>
      <c r="D160" s="17" t="s">
        <v>165</v>
      </c>
      <c r="E160" s="17" t="s">
        <v>293</v>
      </c>
      <c r="F160" s="16"/>
      <c r="G160" s="35">
        <f t="shared" si="13"/>
        <v>15500</v>
      </c>
      <c r="H160" s="35">
        <f t="shared" si="13"/>
        <v>15500</v>
      </c>
      <c r="I160" s="35">
        <f t="shared" si="12"/>
        <v>100</v>
      </c>
    </row>
    <row r="161" spans="1:9" x14ac:dyDescent="0.2">
      <c r="A161" s="64" t="s">
        <v>381</v>
      </c>
      <c r="B161" s="16">
        <v>598</v>
      </c>
      <c r="C161" s="16" t="s">
        <v>88</v>
      </c>
      <c r="D161" s="16" t="s">
        <v>165</v>
      </c>
      <c r="E161" s="16" t="s">
        <v>294</v>
      </c>
      <c r="F161" s="16"/>
      <c r="G161" s="32">
        <f t="shared" si="13"/>
        <v>15500</v>
      </c>
      <c r="H161" s="32">
        <f t="shared" si="13"/>
        <v>15500</v>
      </c>
      <c r="I161" s="32">
        <f t="shared" si="12"/>
        <v>100</v>
      </c>
    </row>
    <row r="162" spans="1:9" ht="24" x14ac:dyDescent="0.2">
      <c r="A162" s="64" t="s">
        <v>514</v>
      </c>
      <c r="B162" s="16" t="s">
        <v>517</v>
      </c>
      <c r="C162" s="16" t="s">
        <v>88</v>
      </c>
      <c r="D162" s="16" t="s">
        <v>165</v>
      </c>
      <c r="E162" s="16" t="s">
        <v>435</v>
      </c>
      <c r="F162" s="16"/>
      <c r="G162" s="32">
        <f t="shared" si="13"/>
        <v>15500</v>
      </c>
      <c r="H162" s="32">
        <f t="shared" si="13"/>
        <v>15500</v>
      </c>
      <c r="I162" s="32">
        <f t="shared" si="12"/>
        <v>100</v>
      </c>
    </row>
    <row r="163" spans="1:9" x14ac:dyDescent="0.2">
      <c r="A163" s="68" t="s">
        <v>186</v>
      </c>
      <c r="B163" s="22" t="s">
        <v>517</v>
      </c>
      <c r="C163" s="22" t="s">
        <v>88</v>
      </c>
      <c r="D163" s="22" t="s">
        <v>165</v>
      </c>
      <c r="E163" s="22" t="s">
        <v>435</v>
      </c>
      <c r="F163" s="22" t="s">
        <v>185</v>
      </c>
      <c r="G163" s="31">
        <f t="shared" si="13"/>
        <v>15500</v>
      </c>
      <c r="H163" s="31">
        <f t="shared" si="13"/>
        <v>15500</v>
      </c>
      <c r="I163" s="31">
        <f t="shared" si="12"/>
        <v>100</v>
      </c>
    </row>
    <row r="164" spans="1:9" x14ac:dyDescent="0.2">
      <c r="A164" s="68" t="s">
        <v>236</v>
      </c>
      <c r="B164" s="22" t="s">
        <v>517</v>
      </c>
      <c r="C164" s="22" t="s">
        <v>88</v>
      </c>
      <c r="D164" s="22" t="s">
        <v>165</v>
      </c>
      <c r="E164" s="22" t="s">
        <v>435</v>
      </c>
      <c r="F164" s="22" t="s">
        <v>91</v>
      </c>
      <c r="G164" s="31">
        <v>15500</v>
      </c>
      <c r="H164" s="31">
        <v>15500</v>
      </c>
      <c r="I164" s="31">
        <f t="shared" si="12"/>
        <v>100</v>
      </c>
    </row>
    <row r="165" spans="1:9" x14ac:dyDescent="0.2">
      <c r="A165" s="64" t="s">
        <v>507</v>
      </c>
      <c r="B165" s="16" t="s">
        <v>517</v>
      </c>
      <c r="C165" s="16" t="s">
        <v>88</v>
      </c>
      <c r="D165" s="16" t="s">
        <v>591</v>
      </c>
      <c r="E165" s="16"/>
      <c r="F165" s="16"/>
      <c r="G165" s="32">
        <f>G166+G179</f>
        <v>64207.682750000007</v>
      </c>
      <c r="H165" s="32">
        <f>H166+H179</f>
        <v>64207.601750000002</v>
      </c>
      <c r="I165" s="32">
        <f t="shared" si="12"/>
        <v>99.999873846872305</v>
      </c>
    </row>
    <row r="166" spans="1:9" x14ac:dyDescent="0.2">
      <c r="A166" s="67" t="s">
        <v>567</v>
      </c>
      <c r="B166" s="17">
        <v>598</v>
      </c>
      <c r="C166" s="17" t="s">
        <v>88</v>
      </c>
      <c r="D166" s="17" t="s">
        <v>591</v>
      </c>
      <c r="E166" s="17" t="s">
        <v>293</v>
      </c>
      <c r="F166" s="16"/>
      <c r="G166" s="35">
        <f>G167</f>
        <v>62707.682750000007</v>
      </c>
      <c r="H166" s="35">
        <f>H167</f>
        <v>62707.601750000002</v>
      </c>
      <c r="I166" s="35">
        <f t="shared" si="12"/>
        <v>99.999870829224662</v>
      </c>
    </row>
    <row r="167" spans="1:9" x14ac:dyDescent="0.2">
      <c r="A167" s="64" t="s">
        <v>381</v>
      </c>
      <c r="B167" s="16">
        <v>598</v>
      </c>
      <c r="C167" s="16" t="s">
        <v>88</v>
      </c>
      <c r="D167" s="16" t="s">
        <v>591</v>
      </c>
      <c r="E167" s="16" t="s">
        <v>294</v>
      </c>
      <c r="F167" s="16"/>
      <c r="G167" s="32">
        <f>G171+G174+G168</f>
        <v>62707.682750000007</v>
      </c>
      <c r="H167" s="32">
        <f>H171+H174+H168</f>
        <v>62707.601750000002</v>
      </c>
      <c r="I167" s="32">
        <f t="shared" si="12"/>
        <v>99.999870829224662</v>
      </c>
    </row>
    <row r="168" spans="1:9" x14ac:dyDescent="0.2">
      <c r="A168" s="64" t="s">
        <v>171</v>
      </c>
      <c r="B168" s="16" t="s">
        <v>517</v>
      </c>
      <c r="C168" s="16" t="s">
        <v>88</v>
      </c>
      <c r="D168" s="16" t="s">
        <v>591</v>
      </c>
      <c r="E168" s="78" t="s">
        <v>172</v>
      </c>
      <c r="F168" s="16"/>
      <c r="G168" s="32">
        <f>G169</f>
        <v>59248.182750000007</v>
      </c>
      <c r="H168" s="32">
        <f>H169</f>
        <v>59248.18275</v>
      </c>
      <c r="I168" s="32">
        <f t="shared" si="12"/>
        <v>99.999999999999986</v>
      </c>
    </row>
    <row r="169" spans="1:9" x14ac:dyDescent="0.2">
      <c r="A169" s="68" t="s">
        <v>186</v>
      </c>
      <c r="B169" s="22" t="s">
        <v>517</v>
      </c>
      <c r="C169" s="22" t="s">
        <v>88</v>
      </c>
      <c r="D169" s="22" t="s">
        <v>591</v>
      </c>
      <c r="E169" s="79" t="s">
        <v>172</v>
      </c>
      <c r="F169" s="22" t="s">
        <v>185</v>
      </c>
      <c r="G169" s="31">
        <f>G170</f>
        <v>59248.182750000007</v>
      </c>
      <c r="H169" s="31">
        <f>H170</f>
        <v>59248.18275</v>
      </c>
      <c r="I169" s="31">
        <f t="shared" si="12"/>
        <v>99.999999999999986</v>
      </c>
    </row>
    <row r="170" spans="1:9" x14ac:dyDescent="0.2">
      <c r="A170" s="68" t="s">
        <v>187</v>
      </c>
      <c r="B170" s="22" t="s">
        <v>517</v>
      </c>
      <c r="C170" s="22" t="s">
        <v>88</v>
      </c>
      <c r="D170" s="22" t="s">
        <v>591</v>
      </c>
      <c r="E170" s="79" t="s">
        <v>172</v>
      </c>
      <c r="F170" s="22" t="s">
        <v>188</v>
      </c>
      <c r="G170" s="31">
        <f>24365.51175+34882.671</f>
        <v>59248.182750000007</v>
      </c>
      <c r="H170" s="31">
        <v>59248.18275</v>
      </c>
      <c r="I170" s="31">
        <f t="shared" si="12"/>
        <v>99.999999999999986</v>
      </c>
    </row>
    <row r="171" spans="1:9" x14ac:dyDescent="0.2">
      <c r="A171" s="64" t="s">
        <v>577</v>
      </c>
      <c r="B171" s="16" t="s">
        <v>517</v>
      </c>
      <c r="C171" s="16" t="s">
        <v>88</v>
      </c>
      <c r="D171" s="16" t="s">
        <v>591</v>
      </c>
      <c r="E171" s="78" t="s">
        <v>13</v>
      </c>
      <c r="F171" s="16"/>
      <c r="G171" s="32">
        <f>G172</f>
        <v>1959.5</v>
      </c>
      <c r="H171" s="32">
        <f>H172</f>
        <v>1959.4190000000001</v>
      </c>
      <c r="I171" s="32">
        <f t="shared" si="12"/>
        <v>99.995866292421539</v>
      </c>
    </row>
    <row r="172" spans="1:9" x14ac:dyDescent="0.2">
      <c r="A172" s="68" t="s">
        <v>186</v>
      </c>
      <c r="B172" s="22" t="s">
        <v>517</v>
      </c>
      <c r="C172" s="22" t="s">
        <v>88</v>
      </c>
      <c r="D172" s="22" t="s">
        <v>591</v>
      </c>
      <c r="E172" s="79" t="s">
        <v>13</v>
      </c>
      <c r="F172" s="22" t="s">
        <v>185</v>
      </c>
      <c r="G172" s="31">
        <f>G173</f>
        <v>1959.5</v>
      </c>
      <c r="H172" s="31">
        <f>H173</f>
        <v>1959.4190000000001</v>
      </c>
      <c r="I172" s="31">
        <f t="shared" si="12"/>
        <v>99.995866292421539</v>
      </c>
    </row>
    <row r="173" spans="1:9" x14ac:dyDescent="0.2">
      <c r="A173" s="68" t="s">
        <v>187</v>
      </c>
      <c r="B173" s="22" t="s">
        <v>517</v>
      </c>
      <c r="C173" s="22" t="s">
        <v>88</v>
      </c>
      <c r="D173" s="22" t="s">
        <v>591</v>
      </c>
      <c r="E173" s="79" t="s">
        <v>13</v>
      </c>
      <c r="F173" s="22" t="s">
        <v>188</v>
      </c>
      <c r="G173" s="31">
        <f>3000-1040.5</f>
        <v>1959.5</v>
      </c>
      <c r="H173" s="31">
        <v>1959.4190000000001</v>
      </c>
      <c r="I173" s="31">
        <f t="shared" si="12"/>
        <v>99.995866292421539</v>
      </c>
    </row>
    <row r="174" spans="1:9" x14ac:dyDescent="0.2">
      <c r="A174" s="64" t="s">
        <v>182</v>
      </c>
      <c r="B174" s="16">
        <v>598</v>
      </c>
      <c r="C174" s="16" t="s">
        <v>88</v>
      </c>
      <c r="D174" s="16" t="s">
        <v>591</v>
      </c>
      <c r="E174" s="16" t="s">
        <v>408</v>
      </c>
      <c r="F174" s="16"/>
      <c r="G174" s="32">
        <f>G175+G177</f>
        <v>1500</v>
      </c>
      <c r="H174" s="32">
        <f>H175+H177</f>
        <v>1500</v>
      </c>
      <c r="I174" s="32">
        <f t="shared" si="12"/>
        <v>100</v>
      </c>
    </row>
    <row r="175" spans="1:9" x14ac:dyDescent="0.2">
      <c r="A175" s="68" t="s">
        <v>186</v>
      </c>
      <c r="B175" s="22">
        <v>598</v>
      </c>
      <c r="C175" s="22" t="s">
        <v>88</v>
      </c>
      <c r="D175" s="22" t="s">
        <v>591</v>
      </c>
      <c r="E175" s="22" t="s">
        <v>408</v>
      </c>
      <c r="F175" s="22" t="s">
        <v>185</v>
      </c>
      <c r="G175" s="31">
        <f>G176</f>
        <v>730</v>
      </c>
      <c r="H175" s="31">
        <f>H176</f>
        <v>730</v>
      </c>
      <c r="I175" s="31">
        <f t="shared" si="12"/>
        <v>100</v>
      </c>
    </row>
    <row r="176" spans="1:9" x14ac:dyDescent="0.2">
      <c r="A176" s="68" t="s">
        <v>236</v>
      </c>
      <c r="B176" s="22">
        <v>598</v>
      </c>
      <c r="C176" s="22" t="s">
        <v>88</v>
      </c>
      <c r="D176" s="22" t="s">
        <v>591</v>
      </c>
      <c r="E176" s="22" t="s">
        <v>408</v>
      </c>
      <c r="F176" s="22" t="s">
        <v>91</v>
      </c>
      <c r="G176" s="31">
        <f>515+215</f>
        <v>730</v>
      </c>
      <c r="H176" s="31">
        <v>730</v>
      </c>
      <c r="I176" s="31">
        <f t="shared" si="12"/>
        <v>100</v>
      </c>
    </row>
    <row r="177" spans="1:9" ht="24" x14ac:dyDescent="0.2">
      <c r="A177" s="68" t="s">
        <v>191</v>
      </c>
      <c r="B177" s="22">
        <v>598</v>
      </c>
      <c r="C177" s="22" t="s">
        <v>88</v>
      </c>
      <c r="D177" s="22" t="s">
        <v>591</v>
      </c>
      <c r="E177" s="22" t="s">
        <v>408</v>
      </c>
      <c r="F177" s="22" t="s">
        <v>522</v>
      </c>
      <c r="G177" s="31">
        <f>G178</f>
        <v>770</v>
      </c>
      <c r="H177" s="31">
        <f>H178</f>
        <v>770</v>
      </c>
      <c r="I177" s="31">
        <f t="shared" si="12"/>
        <v>100</v>
      </c>
    </row>
    <row r="178" spans="1:9" x14ac:dyDescent="0.2">
      <c r="A178" s="68" t="s">
        <v>192</v>
      </c>
      <c r="B178" s="22">
        <v>598</v>
      </c>
      <c r="C178" s="22" t="s">
        <v>88</v>
      </c>
      <c r="D178" s="22" t="s">
        <v>591</v>
      </c>
      <c r="E178" s="22" t="s">
        <v>408</v>
      </c>
      <c r="F178" s="22" t="s">
        <v>536</v>
      </c>
      <c r="G178" s="31">
        <v>770</v>
      </c>
      <c r="H178" s="31">
        <v>770</v>
      </c>
      <c r="I178" s="31">
        <f t="shared" si="12"/>
        <v>100</v>
      </c>
    </row>
    <row r="179" spans="1:9" s="40" customFormat="1" ht="27" x14ac:dyDescent="0.2">
      <c r="A179" s="70" t="s">
        <v>437</v>
      </c>
      <c r="B179" s="43" t="s">
        <v>517</v>
      </c>
      <c r="C179" s="43" t="s">
        <v>88</v>
      </c>
      <c r="D179" s="43" t="s">
        <v>591</v>
      </c>
      <c r="E179" s="77" t="s">
        <v>336</v>
      </c>
      <c r="F179" s="43"/>
      <c r="G179" s="47">
        <f t="shared" ref="G179:H181" si="14">G180</f>
        <v>1500</v>
      </c>
      <c r="H179" s="47">
        <f t="shared" si="14"/>
        <v>1500</v>
      </c>
      <c r="I179" s="47">
        <f t="shared" si="12"/>
        <v>100</v>
      </c>
    </row>
    <row r="180" spans="1:9" s="40" customFormat="1" ht="24" x14ac:dyDescent="0.2">
      <c r="A180" s="61" t="s">
        <v>126</v>
      </c>
      <c r="B180" s="16" t="s">
        <v>517</v>
      </c>
      <c r="C180" s="16" t="s">
        <v>88</v>
      </c>
      <c r="D180" s="16" t="s">
        <v>591</v>
      </c>
      <c r="E180" s="33" t="s">
        <v>26</v>
      </c>
      <c r="F180" s="16"/>
      <c r="G180" s="32">
        <f t="shared" si="14"/>
        <v>1500</v>
      </c>
      <c r="H180" s="32">
        <f t="shared" si="14"/>
        <v>1500</v>
      </c>
      <c r="I180" s="32">
        <f t="shared" si="12"/>
        <v>100</v>
      </c>
    </row>
    <row r="181" spans="1:9" s="41" customFormat="1" x14ac:dyDescent="0.2">
      <c r="A181" s="68" t="s">
        <v>186</v>
      </c>
      <c r="B181" s="22" t="s">
        <v>517</v>
      </c>
      <c r="C181" s="22" t="s">
        <v>88</v>
      </c>
      <c r="D181" s="22" t="s">
        <v>591</v>
      </c>
      <c r="E181" s="30" t="s">
        <v>26</v>
      </c>
      <c r="F181" s="22" t="s">
        <v>185</v>
      </c>
      <c r="G181" s="31">
        <f t="shared" si="14"/>
        <v>1500</v>
      </c>
      <c r="H181" s="31">
        <f t="shared" si="14"/>
        <v>1500</v>
      </c>
      <c r="I181" s="31">
        <f t="shared" si="12"/>
        <v>100</v>
      </c>
    </row>
    <row r="182" spans="1:9" s="41" customFormat="1" x14ac:dyDescent="0.2">
      <c r="A182" s="68" t="s">
        <v>236</v>
      </c>
      <c r="B182" s="22" t="s">
        <v>517</v>
      </c>
      <c r="C182" s="22" t="s">
        <v>88</v>
      </c>
      <c r="D182" s="22" t="s">
        <v>591</v>
      </c>
      <c r="E182" s="30" t="s">
        <v>26</v>
      </c>
      <c r="F182" s="22" t="s">
        <v>91</v>
      </c>
      <c r="G182" s="31">
        <v>1500</v>
      </c>
      <c r="H182" s="31">
        <v>1500</v>
      </c>
      <c r="I182" s="31">
        <f t="shared" si="12"/>
        <v>100</v>
      </c>
    </row>
    <row r="183" spans="1:9" s="39" customFormat="1" x14ac:dyDescent="0.2">
      <c r="A183" s="64" t="s">
        <v>512</v>
      </c>
      <c r="B183" s="16" t="s">
        <v>517</v>
      </c>
      <c r="C183" s="16" t="s">
        <v>597</v>
      </c>
      <c r="D183" s="16" t="s">
        <v>166</v>
      </c>
      <c r="E183" s="16"/>
      <c r="F183" s="16"/>
      <c r="G183" s="32">
        <f>G184+G194</f>
        <v>11003.72</v>
      </c>
      <c r="H183" s="32">
        <f>H184+H194</f>
        <v>10303.720000000001</v>
      </c>
      <c r="I183" s="32">
        <f t="shared" si="12"/>
        <v>93.638514974935759</v>
      </c>
    </row>
    <row r="184" spans="1:9" s="39" customFormat="1" x14ac:dyDescent="0.2">
      <c r="A184" s="64" t="s">
        <v>499</v>
      </c>
      <c r="B184" s="16" t="s">
        <v>517</v>
      </c>
      <c r="C184" s="16" t="s">
        <v>597</v>
      </c>
      <c r="D184" s="16" t="s">
        <v>165</v>
      </c>
      <c r="E184" s="16" t="s">
        <v>293</v>
      </c>
      <c r="F184" s="16"/>
      <c r="G184" s="32">
        <f t="shared" ref="G184:H186" si="15">G185</f>
        <v>4023.72</v>
      </c>
      <c r="H184" s="32">
        <f t="shared" si="15"/>
        <v>4023.7200000000003</v>
      </c>
      <c r="I184" s="32">
        <f t="shared" si="12"/>
        <v>100.00000000000003</v>
      </c>
    </row>
    <row r="185" spans="1:9" x14ac:dyDescent="0.2">
      <c r="A185" s="64" t="s">
        <v>193</v>
      </c>
      <c r="B185" s="16" t="s">
        <v>517</v>
      </c>
      <c r="C185" s="16" t="s">
        <v>597</v>
      </c>
      <c r="D185" s="16" t="s">
        <v>165</v>
      </c>
      <c r="E185" s="16" t="s">
        <v>294</v>
      </c>
      <c r="F185" s="16"/>
      <c r="G185" s="32">
        <f t="shared" si="15"/>
        <v>4023.72</v>
      </c>
      <c r="H185" s="32">
        <f t="shared" si="15"/>
        <v>4023.7200000000003</v>
      </c>
      <c r="I185" s="32">
        <f t="shared" si="12"/>
        <v>100.00000000000003</v>
      </c>
    </row>
    <row r="186" spans="1:9" x14ac:dyDescent="0.2">
      <c r="A186" s="69" t="s">
        <v>593</v>
      </c>
      <c r="B186" s="25" t="s">
        <v>517</v>
      </c>
      <c r="C186" s="25" t="s">
        <v>597</v>
      </c>
      <c r="D186" s="25" t="s">
        <v>165</v>
      </c>
      <c r="E186" s="25" t="s">
        <v>444</v>
      </c>
      <c r="F186" s="25"/>
      <c r="G186" s="85">
        <f t="shared" si="15"/>
        <v>4023.72</v>
      </c>
      <c r="H186" s="85">
        <f t="shared" si="15"/>
        <v>4023.7200000000003</v>
      </c>
      <c r="I186" s="85">
        <f t="shared" si="12"/>
        <v>100.00000000000003</v>
      </c>
    </row>
    <row r="187" spans="1:9" x14ac:dyDescent="0.2">
      <c r="A187" s="64" t="s">
        <v>123</v>
      </c>
      <c r="B187" s="16" t="s">
        <v>517</v>
      </c>
      <c r="C187" s="16" t="s">
        <v>597</v>
      </c>
      <c r="D187" s="16" t="s">
        <v>165</v>
      </c>
      <c r="E187" s="16" t="s">
        <v>444</v>
      </c>
      <c r="F187" s="16"/>
      <c r="G187" s="32">
        <f>G188+G190+G192</f>
        <v>4023.72</v>
      </c>
      <c r="H187" s="32">
        <f>H188+H190+H192</f>
        <v>4023.7200000000003</v>
      </c>
      <c r="I187" s="32">
        <f t="shared" si="12"/>
        <v>100.00000000000003</v>
      </c>
    </row>
    <row r="188" spans="1:9" ht="36" x14ac:dyDescent="0.2">
      <c r="A188" s="68" t="s">
        <v>168</v>
      </c>
      <c r="B188" s="22" t="s">
        <v>517</v>
      </c>
      <c r="C188" s="22" t="s">
        <v>597</v>
      </c>
      <c r="D188" s="22" t="s">
        <v>165</v>
      </c>
      <c r="E188" s="22" t="s">
        <v>444</v>
      </c>
      <c r="F188" s="22" t="s">
        <v>169</v>
      </c>
      <c r="G188" s="31">
        <f>G189</f>
        <v>3071</v>
      </c>
      <c r="H188" s="31">
        <f>H189</f>
        <v>3071</v>
      </c>
      <c r="I188" s="31">
        <f t="shared" si="12"/>
        <v>100</v>
      </c>
    </row>
    <row r="189" spans="1:9" x14ac:dyDescent="0.2">
      <c r="A189" s="68" t="s">
        <v>594</v>
      </c>
      <c r="B189" s="22" t="s">
        <v>517</v>
      </c>
      <c r="C189" s="22" t="s">
        <v>597</v>
      </c>
      <c r="D189" s="22" t="s">
        <v>165</v>
      </c>
      <c r="E189" s="22" t="s">
        <v>444</v>
      </c>
      <c r="F189" s="22" t="s">
        <v>595</v>
      </c>
      <c r="G189" s="31">
        <f>2271+114+686</f>
        <v>3071</v>
      </c>
      <c r="H189" s="31">
        <v>3071</v>
      </c>
      <c r="I189" s="31">
        <f t="shared" si="12"/>
        <v>100</v>
      </c>
    </row>
    <row r="190" spans="1:9" x14ac:dyDescent="0.2">
      <c r="A190" s="68" t="s">
        <v>378</v>
      </c>
      <c r="B190" s="22" t="s">
        <v>517</v>
      </c>
      <c r="C190" s="22" t="s">
        <v>597</v>
      </c>
      <c r="D190" s="22" t="s">
        <v>165</v>
      </c>
      <c r="E190" s="22" t="s">
        <v>444</v>
      </c>
      <c r="F190" s="22" t="s">
        <v>175</v>
      </c>
      <c r="G190" s="31">
        <f>G191</f>
        <v>948.71999999999991</v>
      </c>
      <c r="H190" s="31">
        <f>H191</f>
        <v>948.72</v>
      </c>
      <c r="I190" s="31">
        <f t="shared" si="12"/>
        <v>100.00000000000003</v>
      </c>
    </row>
    <row r="191" spans="1:9" ht="15" customHeight="1" x14ac:dyDescent="0.2">
      <c r="A191" s="68" t="s">
        <v>176</v>
      </c>
      <c r="B191" s="22" t="s">
        <v>517</v>
      </c>
      <c r="C191" s="22" t="s">
        <v>597</v>
      </c>
      <c r="D191" s="22" t="s">
        <v>165</v>
      </c>
      <c r="E191" s="22" t="s">
        <v>444</v>
      </c>
      <c r="F191" s="22" t="s">
        <v>177</v>
      </c>
      <c r="G191" s="31">
        <f>617+720-50-284.94-53.34</f>
        <v>948.71999999999991</v>
      </c>
      <c r="H191" s="31">
        <v>948.72</v>
      </c>
      <c r="I191" s="31">
        <f t="shared" si="12"/>
        <v>100.00000000000003</v>
      </c>
    </row>
    <row r="192" spans="1:9" x14ac:dyDescent="0.2">
      <c r="A192" s="68" t="s">
        <v>178</v>
      </c>
      <c r="B192" s="22" t="s">
        <v>517</v>
      </c>
      <c r="C192" s="22" t="s">
        <v>597</v>
      </c>
      <c r="D192" s="22" t="s">
        <v>165</v>
      </c>
      <c r="E192" s="22" t="s">
        <v>444</v>
      </c>
      <c r="F192" s="22" t="s">
        <v>179</v>
      </c>
      <c r="G192" s="31">
        <f>G193</f>
        <v>4</v>
      </c>
      <c r="H192" s="31">
        <f>H193</f>
        <v>4</v>
      </c>
      <c r="I192" s="31">
        <f t="shared" si="12"/>
        <v>100</v>
      </c>
    </row>
    <row r="193" spans="1:9" x14ac:dyDescent="0.2">
      <c r="A193" s="68" t="s">
        <v>233</v>
      </c>
      <c r="B193" s="22" t="s">
        <v>517</v>
      </c>
      <c r="C193" s="22" t="s">
        <v>597</v>
      </c>
      <c r="D193" s="22" t="s">
        <v>165</v>
      </c>
      <c r="E193" s="22" t="s">
        <v>444</v>
      </c>
      <c r="F193" s="22" t="s">
        <v>180</v>
      </c>
      <c r="G193" s="31">
        <f>6-2</f>
        <v>4</v>
      </c>
      <c r="H193" s="31">
        <v>4</v>
      </c>
      <c r="I193" s="31">
        <f t="shared" si="12"/>
        <v>100</v>
      </c>
    </row>
    <row r="194" spans="1:9" ht="15.75" x14ac:dyDescent="0.2">
      <c r="A194" s="64" t="s">
        <v>500</v>
      </c>
      <c r="B194" s="16" t="s">
        <v>517</v>
      </c>
      <c r="C194" s="16" t="s">
        <v>597</v>
      </c>
      <c r="D194" s="16" t="s">
        <v>599</v>
      </c>
      <c r="E194" s="16" t="s">
        <v>293</v>
      </c>
      <c r="F194" s="37"/>
      <c r="G194" s="32">
        <f t="shared" ref="G194:H197" si="16">G195</f>
        <v>6980</v>
      </c>
      <c r="H194" s="32">
        <f t="shared" si="16"/>
        <v>6280</v>
      </c>
      <c r="I194" s="32">
        <f t="shared" si="12"/>
        <v>89.971346704871053</v>
      </c>
    </row>
    <row r="195" spans="1:9" x14ac:dyDescent="0.2">
      <c r="A195" s="64" t="s">
        <v>193</v>
      </c>
      <c r="B195" s="16" t="s">
        <v>517</v>
      </c>
      <c r="C195" s="16" t="s">
        <v>597</v>
      </c>
      <c r="D195" s="16" t="s">
        <v>599</v>
      </c>
      <c r="E195" s="16" t="s">
        <v>294</v>
      </c>
      <c r="F195" s="16"/>
      <c r="G195" s="32">
        <f t="shared" si="16"/>
        <v>6980</v>
      </c>
      <c r="H195" s="32">
        <f t="shared" si="16"/>
        <v>6280</v>
      </c>
      <c r="I195" s="32">
        <f t="shared" si="12"/>
        <v>89.971346704871053</v>
      </c>
    </row>
    <row r="196" spans="1:9" ht="24" x14ac:dyDescent="0.2">
      <c r="A196" s="64" t="s">
        <v>125</v>
      </c>
      <c r="B196" s="16" t="s">
        <v>517</v>
      </c>
      <c r="C196" s="16" t="s">
        <v>597</v>
      </c>
      <c r="D196" s="16" t="s">
        <v>599</v>
      </c>
      <c r="E196" s="16" t="s">
        <v>445</v>
      </c>
      <c r="F196" s="16"/>
      <c r="G196" s="32">
        <f t="shared" si="16"/>
        <v>6980</v>
      </c>
      <c r="H196" s="32">
        <f t="shared" si="16"/>
        <v>6280</v>
      </c>
      <c r="I196" s="32">
        <f t="shared" si="12"/>
        <v>89.971346704871053</v>
      </c>
    </row>
    <row r="197" spans="1:9" ht="24" x14ac:dyDescent="0.2">
      <c r="A197" s="68" t="s">
        <v>191</v>
      </c>
      <c r="B197" s="22" t="s">
        <v>517</v>
      </c>
      <c r="C197" s="22" t="s">
        <v>597</v>
      </c>
      <c r="D197" s="22" t="s">
        <v>599</v>
      </c>
      <c r="E197" s="22" t="s">
        <v>445</v>
      </c>
      <c r="F197" s="22" t="s">
        <v>522</v>
      </c>
      <c r="G197" s="31">
        <f t="shared" si="16"/>
        <v>6980</v>
      </c>
      <c r="H197" s="31">
        <f t="shared" si="16"/>
        <v>6280</v>
      </c>
      <c r="I197" s="31">
        <f t="shared" si="12"/>
        <v>89.971346704871053</v>
      </c>
    </row>
    <row r="198" spans="1:9" x14ac:dyDescent="0.2">
      <c r="A198" s="68" t="s">
        <v>192</v>
      </c>
      <c r="B198" s="22" t="s">
        <v>517</v>
      </c>
      <c r="C198" s="22" t="s">
        <v>597</v>
      </c>
      <c r="D198" s="22" t="s">
        <v>599</v>
      </c>
      <c r="E198" s="22" t="s">
        <v>445</v>
      </c>
      <c r="F198" s="22" t="s">
        <v>536</v>
      </c>
      <c r="G198" s="31">
        <f>7000-720+700</f>
        <v>6980</v>
      </c>
      <c r="H198" s="31">
        <v>6280</v>
      </c>
      <c r="I198" s="31">
        <f t="shared" si="12"/>
        <v>89.971346704871053</v>
      </c>
    </row>
    <row r="199" spans="1:9" ht="15.75" x14ac:dyDescent="0.2">
      <c r="A199" s="63" t="s">
        <v>263</v>
      </c>
      <c r="B199" s="36">
        <v>599</v>
      </c>
      <c r="C199" s="37"/>
      <c r="D199" s="37"/>
      <c r="E199" s="36"/>
      <c r="F199" s="36"/>
      <c r="G199" s="86">
        <f>G200+G238+G232+G245</f>
        <v>20060.359</v>
      </c>
      <c r="H199" s="86">
        <f>H200+H238+H232+H245</f>
        <v>19429.376990000001</v>
      </c>
      <c r="I199" s="86">
        <f t="shared" si="12"/>
        <v>96.854582662254458</v>
      </c>
    </row>
    <row r="200" spans="1:9" x14ac:dyDescent="0.2">
      <c r="A200" s="64" t="s">
        <v>198</v>
      </c>
      <c r="B200" s="16" t="s">
        <v>521</v>
      </c>
      <c r="C200" s="16" t="s">
        <v>165</v>
      </c>
      <c r="D200" s="16" t="s">
        <v>166</v>
      </c>
      <c r="E200" s="16"/>
      <c r="F200" s="16"/>
      <c r="G200" s="32">
        <f>G201+G221+G215</f>
        <v>17796.359</v>
      </c>
      <c r="H200" s="32">
        <f>H201+H221+H215</f>
        <v>17207.228999999999</v>
      </c>
      <c r="I200" s="32">
        <f t="shared" si="12"/>
        <v>96.689603755464802</v>
      </c>
    </row>
    <row r="201" spans="1:9" ht="24.75" customHeight="1" x14ac:dyDescent="0.2">
      <c r="A201" s="64" t="s">
        <v>397</v>
      </c>
      <c r="B201" s="16" t="s">
        <v>521</v>
      </c>
      <c r="C201" s="16" t="s">
        <v>165</v>
      </c>
      <c r="D201" s="16" t="s">
        <v>167</v>
      </c>
      <c r="E201" s="16"/>
      <c r="F201" s="16"/>
      <c r="G201" s="32">
        <f>G202</f>
        <v>17374.195210000002</v>
      </c>
      <c r="H201" s="32">
        <f>H202</f>
        <v>16902.666000000001</v>
      </c>
      <c r="I201" s="32">
        <f t="shared" si="12"/>
        <v>97.286037112506918</v>
      </c>
    </row>
    <row r="202" spans="1:9" x14ac:dyDescent="0.2">
      <c r="A202" s="65" t="s">
        <v>163</v>
      </c>
      <c r="B202" s="17" t="s">
        <v>521</v>
      </c>
      <c r="C202" s="17" t="s">
        <v>165</v>
      </c>
      <c r="D202" s="17" t="s">
        <v>167</v>
      </c>
      <c r="E202" s="17" t="s">
        <v>293</v>
      </c>
      <c r="F202" s="17"/>
      <c r="G202" s="35">
        <f>G203</f>
        <v>17374.195210000002</v>
      </c>
      <c r="H202" s="35">
        <f>H203</f>
        <v>16902.666000000001</v>
      </c>
      <c r="I202" s="35">
        <f t="shared" si="12"/>
        <v>97.286037112506918</v>
      </c>
    </row>
    <row r="203" spans="1:9" x14ac:dyDescent="0.2">
      <c r="A203" s="66" t="s">
        <v>381</v>
      </c>
      <c r="B203" s="16" t="s">
        <v>521</v>
      </c>
      <c r="C203" s="16" t="s">
        <v>165</v>
      </c>
      <c r="D203" s="16" t="s">
        <v>167</v>
      </c>
      <c r="E203" s="16" t="s">
        <v>294</v>
      </c>
      <c r="F203" s="16"/>
      <c r="G203" s="32">
        <f>G204+G207+G212</f>
        <v>17374.195210000002</v>
      </c>
      <c r="H203" s="32">
        <f>H204+H207+H212</f>
        <v>16902.666000000001</v>
      </c>
      <c r="I203" s="32">
        <f t="shared" si="12"/>
        <v>97.286037112506918</v>
      </c>
    </row>
    <row r="204" spans="1:9" x14ac:dyDescent="0.2">
      <c r="A204" s="66" t="s">
        <v>380</v>
      </c>
      <c r="B204" s="16" t="s">
        <v>521</v>
      </c>
      <c r="C204" s="16" t="s">
        <v>165</v>
      </c>
      <c r="D204" s="16" t="s">
        <v>167</v>
      </c>
      <c r="E204" s="16" t="s">
        <v>295</v>
      </c>
      <c r="F204" s="16"/>
      <c r="G204" s="32">
        <f>G205</f>
        <v>14840.259000000002</v>
      </c>
      <c r="H204" s="32">
        <f>H205</f>
        <v>14788.376</v>
      </c>
      <c r="I204" s="32">
        <f t="shared" si="12"/>
        <v>99.650390198715527</v>
      </c>
    </row>
    <row r="205" spans="1:9" ht="36" x14ac:dyDescent="0.2">
      <c r="A205" s="68" t="s">
        <v>168</v>
      </c>
      <c r="B205" s="22" t="s">
        <v>521</v>
      </c>
      <c r="C205" s="22" t="s">
        <v>165</v>
      </c>
      <c r="D205" s="22" t="s">
        <v>167</v>
      </c>
      <c r="E205" s="22" t="s">
        <v>295</v>
      </c>
      <c r="F205" s="22" t="s">
        <v>169</v>
      </c>
      <c r="G205" s="31">
        <f>G206</f>
        <v>14840.259000000002</v>
      </c>
      <c r="H205" s="31">
        <f>H206</f>
        <v>14788.376</v>
      </c>
      <c r="I205" s="31">
        <f t="shared" si="12"/>
        <v>99.650390198715527</v>
      </c>
    </row>
    <row r="206" spans="1:9" x14ac:dyDescent="0.2">
      <c r="A206" s="68" t="s">
        <v>170</v>
      </c>
      <c r="B206" s="22" t="s">
        <v>521</v>
      </c>
      <c r="C206" s="22" t="s">
        <v>165</v>
      </c>
      <c r="D206" s="22" t="s">
        <v>167</v>
      </c>
      <c r="E206" s="22" t="s">
        <v>295</v>
      </c>
      <c r="F206" s="22" t="s">
        <v>173</v>
      </c>
      <c r="G206" s="31">
        <f>9835.2+2970+464.031+1571.028</f>
        <v>14840.259000000002</v>
      </c>
      <c r="H206" s="31">
        <v>14788.376</v>
      </c>
      <c r="I206" s="31">
        <f t="shared" si="12"/>
        <v>99.650390198715527</v>
      </c>
    </row>
    <row r="207" spans="1:9" x14ac:dyDescent="0.2">
      <c r="A207" s="64" t="s">
        <v>174</v>
      </c>
      <c r="B207" s="16" t="s">
        <v>521</v>
      </c>
      <c r="C207" s="16" t="s">
        <v>165</v>
      </c>
      <c r="D207" s="16" t="s">
        <v>167</v>
      </c>
      <c r="E207" s="16" t="s">
        <v>296</v>
      </c>
      <c r="F207" s="16"/>
      <c r="G207" s="32">
        <f>G208+G210</f>
        <v>2275.30521</v>
      </c>
      <c r="H207" s="32">
        <f>H208+H210</f>
        <v>1855.6599999999999</v>
      </c>
      <c r="I207" s="32">
        <f t="shared" si="12"/>
        <v>81.556531046663395</v>
      </c>
    </row>
    <row r="208" spans="1:9" x14ac:dyDescent="0.2">
      <c r="A208" s="68" t="s">
        <v>378</v>
      </c>
      <c r="B208" s="22" t="s">
        <v>521</v>
      </c>
      <c r="C208" s="22" t="s">
        <v>165</v>
      </c>
      <c r="D208" s="22" t="s">
        <v>167</v>
      </c>
      <c r="E208" s="22" t="s">
        <v>296</v>
      </c>
      <c r="F208" s="22" t="s">
        <v>175</v>
      </c>
      <c r="G208" s="31">
        <f>G209</f>
        <v>2249.569</v>
      </c>
      <c r="H208" s="31">
        <f>H209</f>
        <v>1852.3</v>
      </c>
      <c r="I208" s="31">
        <f t="shared" si="12"/>
        <v>82.340217170489112</v>
      </c>
    </row>
    <row r="209" spans="1:9" ht="15" customHeight="1" x14ac:dyDescent="0.2">
      <c r="A209" s="68" t="s">
        <v>176</v>
      </c>
      <c r="B209" s="22" t="s">
        <v>521</v>
      </c>
      <c r="C209" s="22" t="s">
        <v>165</v>
      </c>
      <c r="D209" s="22" t="s">
        <v>167</v>
      </c>
      <c r="E209" s="22" t="s">
        <v>296</v>
      </c>
      <c r="F209" s="22" t="s">
        <v>177</v>
      </c>
      <c r="G209" s="31">
        <f>2630-380.431</f>
        <v>2249.569</v>
      </c>
      <c r="H209" s="31">
        <v>1852.3</v>
      </c>
      <c r="I209" s="31">
        <f t="shared" si="12"/>
        <v>82.340217170489112</v>
      </c>
    </row>
    <row r="210" spans="1:9" x14ac:dyDescent="0.2">
      <c r="A210" s="68" t="s">
        <v>178</v>
      </c>
      <c r="B210" s="22" t="s">
        <v>521</v>
      </c>
      <c r="C210" s="22" t="s">
        <v>165</v>
      </c>
      <c r="D210" s="22" t="s">
        <v>167</v>
      </c>
      <c r="E210" s="22" t="s">
        <v>296</v>
      </c>
      <c r="F210" s="22" t="s">
        <v>179</v>
      </c>
      <c r="G210" s="31">
        <f>G211</f>
        <v>25.73621</v>
      </c>
      <c r="H210" s="31">
        <f>H211</f>
        <v>3.36</v>
      </c>
      <c r="I210" s="31">
        <f t="shared" si="12"/>
        <v>13.055535372146871</v>
      </c>
    </row>
    <row r="211" spans="1:9" x14ac:dyDescent="0.2">
      <c r="A211" s="68" t="s">
        <v>87</v>
      </c>
      <c r="B211" s="22" t="s">
        <v>521</v>
      </c>
      <c r="C211" s="22" t="s">
        <v>165</v>
      </c>
      <c r="D211" s="22" t="s">
        <v>167</v>
      </c>
      <c r="E211" s="22" t="s">
        <v>296</v>
      </c>
      <c r="F211" s="22" t="s">
        <v>180</v>
      </c>
      <c r="G211" s="31">
        <f>40-8.58371-5.68008</f>
        <v>25.73621</v>
      </c>
      <c r="H211" s="31">
        <v>3.36</v>
      </c>
      <c r="I211" s="31">
        <f t="shared" si="12"/>
        <v>13.055535372146871</v>
      </c>
    </row>
    <row r="212" spans="1:9" ht="24" x14ac:dyDescent="0.2">
      <c r="A212" s="64" t="s">
        <v>632</v>
      </c>
      <c r="B212" s="16" t="s">
        <v>521</v>
      </c>
      <c r="C212" s="16" t="s">
        <v>165</v>
      </c>
      <c r="D212" s="16" t="s">
        <v>167</v>
      </c>
      <c r="E212" s="16" t="s">
        <v>633</v>
      </c>
      <c r="F212" s="16"/>
      <c r="G212" s="32">
        <f>G213</f>
        <v>258.63099999999997</v>
      </c>
      <c r="H212" s="32">
        <f>H213</f>
        <v>258.63</v>
      </c>
      <c r="I212" s="32">
        <f t="shared" si="12"/>
        <v>99.999613348747843</v>
      </c>
    </row>
    <row r="213" spans="1:9" ht="36" x14ac:dyDescent="0.2">
      <c r="A213" s="68" t="s">
        <v>168</v>
      </c>
      <c r="B213" s="22" t="s">
        <v>521</v>
      </c>
      <c r="C213" s="22" t="s">
        <v>165</v>
      </c>
      <c r="D213" s="22" t="s">
        <v>167</v>
      </c>
      <c r="E213" s="22" t="s">
        <v>633</v>
      </c>
      <c r="F213" s="22" t="s">
        <v>169</v>
      </c>
      <c r="G213" s="31">
        <f>G214</f>
        <v>258.63099999999997</v>
      </c>
      <c r="H213" s="31">
        <f>H214</f>
        <v>258.63</v>
      </c>
      <c r="I213" s="31">
        <f t="shared" si="12"/>
        <v>99.999613348747843</v>
      </c>
    </row>
    <row r="214" spans="1:9" x14ac:dyDescent="0.2">
      <c r="A214" s="68" t="s">
        <v>170</v>
      </c>
      <c r="B214" s="22" t="s">
        <v>521</v>
      </c>
      <c r="C214" s="22" t="s">
        <v>165</v>
      </c>
      <c r="D214" s="22" t="s">
        <v>167</v>
      </c>
      <c r="E214" s="22" t="s">
        <v>633</v>
      </c>
      <c r="F214" s="22" t="s">
        <v>173</v>
      </c>
      <c r="G214" s="31">
        <v>258.63099999999997</v>
      </c>
      <c r="H214" s="31">
        <v>258.63</v>
      </c>
      <c r="I214" s="31">
        <f t="shared" ref="I214:I277" si="17">H214/G214*100</f>
        <v>99.999613348747843</v>
      </c>
    </row>
    <row r="215" spans="1:9" x14ac:dyDescent="0.2">
      <c r="A215" s="64" t="s">
        <v>565</v>
      </c>
      <c r="B215" s="16" t="s">
        <v>521</v>
      </c>
      <c r="C215" s="16" t="s">
        <v>165</v>
      </c>
      <c r="D215" s="16" t="s">
        <v>542</v>
      </c>
      <c r="E215" s="16"/>
      <c r="F215" s="16"/>
      <c r="G215" s="95">
        <f t="shared" ref="G215:H219" si="18">G216</f>
        <v>91.5</v>
      </c>
      <c r="H215" s="95">
        <f t="shared" si="18"/>
        <v>0</v>
      </c>
      <c r="I215" s="135">
        <f t="shared" si="17"/>
        <v>0</v>
      </c>
    </row>
    <row r="216" spans="1:9" x14ac:dyDescent="0.2">
      <c r="A216" s="65" t="s">
        <v>163</v>
      </c>
      <c r="B216" s="17" t="s">
        <v>521</v>
      </c>
      <c r="C216" s="17" t="s">
        <v>165</v>
      </c>
      <c r="D216" s="17" t="s">
        <v>542</v>
      </c>
      <c r="E216" s="17" t="s">
        <v>293</v>
      </c>
      <c r="F216" s="22"/>
      <c r="G216" s="100">
        <f t="shared" si="18"/>
        <v>91.5</v>
      </c>
      <c r="H216" s="100">
        <f t="shared" si="18"/>
        <v>0</v>
      </c>
      <c r="I216" s="136">
        <f t="shared" si="17"/>
        <v>0</v>
      </c>
    </row>
    <row r="217" spans="1:9" x14ac:dyDescent="0.2">
      <c r="A217" s="66" t="s">
        <v>381</v>
      </c>
      <c r="B217" s="16" t="s">
        <v>521</v>
      </c>
      <c r="C217" s="16" t="s">
        <v>165</v>
      </c>
      <c r="D217" s="16" t="s">
        <v>542</v>
      </c>
      <c r="E217" s="16" t="s">
        <v>294</v>
      </c>
      <c r="F217" s="22"/>
      <c r="G217" s="95">
        <f t="shared" si="18"/>
        <v>91.5</v>
      </c>
      <c r="H217" s="95">
        <f t="shared" si="18"/>
        <v>0</v>
      </c>
      <c r="I217" s="135">
        <f t="shared" si="17"/>
        <v>0</v>
      </c>
    </row>
    <row r="218" spans="1:9" ht="25.5" customHeight="1" x14ac:dyDescent="0.2">
      <c r="A218" s="64" t="s">
        <v>569</v>
      </c>
      <c r="B218" s="16" t="s">
        <v>521</v>
      </c>
      <c r="C218" s="16" t="s">
        <v>165</v>
      </c>
      <c r="D218" s="16" t="s">
        <v>542</v>
      </c>
      <c r="E218" s="16" t="s">
        <v>448</v>
      </c>
      <c r="F218" s="16"/>
      <c r="G218" s="95">
        <f t="shared" si="18"/>
        <v>91.5</v>
      </c>
      <c r="H218" s="95">
        <f t="shared" si="18"/>
        <v>0</v>
      </c>
      <c r="I218" s="135">
        <f t="shared" si="17"/>
        <v>0</v>
      </c>
    </row>
    <row r="219" spans="1:9" x14ac:dyDescent="0.2">
      <c r="A219" s="68" t="s">
        <v>378</v>
      </c>
      <c r="B219" s="22" t="s">
        <v>521</v>
      </c>
      <c r="C219" s="22" t="s">
        <v>165</v>
      </c>
      <c r="D219" s="22" t="s">
        <v>542</v>
      </c>
      <c r="E219" s="22" t="s">
        <v>448</v>
      </c>
      <c r="F219" s="22" t="s">
        <v>175</v>
      </c>
      <c r="G219" s="96">
        <f t="shared" si="18"/>
        <v>91.5</v>
      </c>
      <c r="H219" s="96">
        <f t="shared" si="18"/>
        <v>0</v>
      </c>
      <c r="I219" s="133">
        <f t="shared" si="17"/>
        <v>0</v>
      </c>
    </row>
    <row r="220" spans="1:9" ht="15" customHeight="1" x14ac:dyDescent="0.2">
      <c r="A220" s="68" t="s">
        <v>176</v>
      </c>
      <c r="B220" s="22" t="s">
        <v>521</v>
      </c>
      <c r="C220" s="22" t="s">
        <v>165</v>
      </c>
      <c r="D220" s="22" t="s">
        <v>542</v>
      </c>
      <c r="E220" s="22" t="s">
        <v>448</v>
      </c>
      <c r="F220" s="22" t="s">
        <v>177</v>
      </c>
      <c r="G220" s="96">
        <v>91.5</v>
      </c>
      <c r="H220" s="96">
        <v>0</v>
      </c>
      <c r="I220" s="133">
        <f t="shared" si="17"/>
        <v>0</v>
      </c>
    </row>
    <row r="221" spans="1:9" x14ac:dyDescent="0.2">
      <c r="A221" s="50" t="s">
        <v>405</v>
      </c>
      <c r="B221" s="16" t="s">
        <v>521</v>
      </c>
      <c r="C221" s="16" t="s">
        <v>165</v>
      </c>
      <c r="D221" s="16" t="s">
        <v>184</v>
      </c>
      <c r="E221" s="16"/>
      <c r="F221" s="16"/>
      <c r="G221" s="32">
        <f>G222+G227</f>
        <v>330.66378999999995</v>
      </c>
      <c r="H221" s="32">
        <f>H222+H227</f>
        <v>304.56299999999999</v>
      </c>
      <c r="I221" s="32">
        <f t="shared" si="17"/>
        <v>92.106547257563349</v>
      </c>
    </row>
    <row r="222" spans="1:9" ht="27" x14ac:dyDescent="0.2">
      <c r="A222" s="115" t="s">
        <v>147</v>
      </c>
      <c r="B222" s="17">
        <v>599</v>
      </c>
      <c r="C222" s="17" t="s">
        <v>165</v>
      </c>
      <c r="D222" s="17" t="s">
        <v>184</v>
      </c>
      <c r="E222" s="17" t="s">
        <v>190</v>
      </c>
      <c r="F222" s="17"/>
      <c r="G222" s="35">
        <f t="shared" ref="G222:H225" si="19">G223</f>
        <v>316.39999999999998</v>
      </c>
      <c r="H222" s="35">
        <f t="shared" si="19"/>
        <v>290.3</v>
      </c>
      <c r="I222" s="32">
        <f t="shared" si="17"/>
        <v>91.750948166877379</v>
      </c>
    </row>
    <row r="223" spans="1:9" x14ac:dyDescent="0.2">
      <c r="A223" s="50" t="s">
        <v>29</v>
      </c>
      <c r="B223" s="16" t="s">
        <v>521</v>
      </c>
      <c r="C223" s="16" t="s">
        <v>165</v>
      </c>
      <c r="D223" s="16" t="s">
        <v>184</v>
      </c>
      <c r="E223" s="16" t="s">
        <v>32</v>
      </c>
      <c r="F223" s="16"/>
      <c r="G223" s="32">
        <f t="shared" si="19"/>
        <v>316.39999999999998</v>
      </c>
      <c r="H223" s="32">
        <f t="shared" si="19"/>
        <v>290.3</v>
      </c>
      <c r="I223" s="32">
        <f t="shared" si="17"/>
        <v>91.750948166877379</v>
      </c>
    </row>
    <row r="224" spans="1:9" x14ac:dyDescent="0.2">
      <c r="A224" s="51" t="s">
        <v>30</v>
      </c>
      <c r="B224" s="17" t="s">
        <v>521</v>
      </c>
      <c r="C224" s="17" t="s">
        <v>165</v>
      </c>
      <c r="D224" s="17" t="s">
        <v>184</v>
      </c>
      <c r="E224" s="17" t="s">
        <v>31</v>
      </c>
      <c r="F224" s="17"/>
      <c r="G224" s="35">
        <f t="shared" si="19"/>
        <v>316.39999999999998</v>
      </c>
      <c r="H224" s="35">
        <f t="shared" si="19"/>
        <v>290.3</v>
      </c>
      <c r="I224" s="32">
        <f t="shared" si="17"/>
        <v>91.750948166877379</v>
      </c>
    </row>
    <row r="225" spans="1:9" ht="36" x14ac:dyDescent="0.2">
      <c r="A225" s="68" t="s">
        <v>168</v>
      </c>
      <c r="B225" s="22" t="s">
        <v>521</v>
      </c>
      <c r="C225" s="22" t="s">
        <v>165</v>
      </c>
      <c r="D225" s="22" t="s">
        <v>184</v>
      </c>
      <c r="E225" s="22" t="s">
        <v>31</v>
      </c>
      <c r="F225" s="22" t="s">
        <v>169</v>
      </c>
      <c r="G225" s="31">
        <f t="shared" si="19"/>
        <v>316.39999999999998</v>
      </c>
      <c r="H225" s="31">
        <f t="shared" si="19"/>
        <v>290.3</v>
      </c>
      <c r="I225" s="31">
        <f t="shared" si="17"/>
        <v>91.750948166877379</v>
      </c>
    </row>
    <row r="226" spans="1:9" x14ac:dyDescent="0.2">
      <c r="A226" s="68" t="s">
        <v>170</v>
      </c>
      <c r="B226" s="22" t="s">
        <v>521</v>
      </c>
      <c r="C226" s="22" t="s">
        <v>165</v>
      </c>
      <c r="D226" s="22" t="s">
        <v>184</v>
      </c>
      <c r="E226" s="22" t="s">
        <v>31</v>
      </c>
      <c r="F226" s="22" t="s">
        <v>173</v>
      </c>
      <c r="G226" s="31">
        <f>400-83.6</f>
        <v>316.39999999999998</v>
      </c>
      <c r="H226" s="31">
        <v>290.3</v>
      </c>
      <c r="I226" s="31">
        <f t="shared" si="17"/>
        <v>91.750948166877379</v>
      </c>
    </row>
    <row r="227" spans="1:9" x14ac:dyDescent="0.2">
      <c r="A227" s="65" t="s">
        <v>163</v>
      </c>
      <c r="B227" s="17" t="s">
        <v>521</v>
      </c>
      <c r="C227" s="17" t="s">
        <v>165</v>
      </c>
      <c r="D227" s="17" t="s">
        <v>184</v>
      </c>
      <c r="E227" s="17" t="s">
        <v>293</v>
      </c>
      <c r="F227" s="17"/>
      <c r="G227" s="35">
        <f t="shared" ref="G227:H230" si="20">G228</f>
        <v>14.26379</v>
      </c>
      <c r="H227" s="35">
        <f t="shared" si="20"/>
        <v>14.263</v>
      </c>
      <c r="I227" s="35">
        <f t="shared" si="17"/>
        <v>99.994461500064148</v>
      </c>
    </row>
    <row r="228" spans="1:9" x14ac:dyDescent="0.2">
      <c r="A228" s="64" t="s">
        <v>381</v>
      </c>
      <c r="B228" s="16" t="s">
        <v>521</v>
      </c>
      <c r="C228" s="16" t="s">
        <v>165</v>
      </c>
      <c r="D228" s="16" t="s">
        <v>184</v>
      </c>
      <c r="E228" s="16" t="s">
        <v>294</v>
      </c>
      <c r="F228" s="16"/>
      <c r="G228" s="32">
        <f t="shared" si="20"/>
        <v>14.26379</v>
      </c>
      <c r="H228" s="32">
        <f t="shared" si="20"/>
        <v>14.263</v>
      </c>
      <c r="I228" s="32">
        <f t="shared" si="17"/>
        <v>99.994461500064148</v>
      </c>
    </row>
    <row r="229" spans="1:9" x14ac:dyDescent="0.2">
      <c r="A229" s="64" t="s">
        <v>406</v>
      </c>
      <c r="B229" s="16" t="s">
        <v>521</v>
      </c>
      <c r="C229" s="16" t="s">
        <v>165</v>
      </c>
      <c r="D229" s="16" t="s">
        <v>184</v>
      </c>
      <c r="E229" s="33" t="s">
        <v>104</v>
      </c>
      <c r="F229" s="16"/>
      <c r="G229" s="32">
        <f t="shared" si="20"/>
        <v>14.26379</v>
      </c>
      <c r="H229" s="32">
        <f t="shared" si="20"/>
        <v>14.263</v>
      </c>
      <c r="I229" s="32">
        <f t="shared" si="17"/>
        <v>99.994461500064148</v>
      </c>
    </row>
    <row r="230" spans="1:9" x14ac:dyDescent="0.2">
      <c r="A230" s="68" t="s">
        <v>178</v>
      </c>
      <c r="B230" s="22" t="s">
        <v>521</v>
      </c>
      <c r="C230" s="22" t="s">
        <v>165</v>
      </c>
      <c r="D230" s="22" t="s">
        <v>184</v>
      </c>
      <c r="E230" s="30" t="s">
        <v>104</v>
      </c>
      <c r="F230" s="22" t="s">
        <v>179</v>
      </c>
      <c r="G230" s="31">
        <f t="shared" si="20"/>
        <v>14.26379</v>
      </c>
      <c r="H230" s="31">
        <f t="shared" si="20"/>
        <v>14.263</v>
      </c>
      <c r="I230" s="31">
        <f t="shared" si="17"/>
        <v>99.994461500064148</v>
      </c>
    </row>
    <row r="231" spans="1:9" x14ac:dyDescent="0.2">
      <c r="A231" s="68" t="s">
        <v>228</v>
      </c>
      <c r="B231" s="22" t="s">
        <v>521</v>
      </c>
      <c r="C231" s="22" t="s">
        <v>165</v>
      </c>
      <c r="D231" s="22" t="s">
        <v>184</v>
      </c>
      <c r="E231" s="30" t="s">
        <v>104</v>
      </c>
      <c r="F231" s="22" t="s">
        <v>232</v>
      </c>
      <c r="G231" s="31">
        <f>8.58371+5.68008</f>
        <v>14.26379</v>
      </c>
      <c r="H231" s="31">
        <v>14.263</v>
      </c>
      <c r="I231" s="31">
        <f t="shared" si="17"/>
        <v>99.994461500064148</v>
      </c>
    </row>
    <row r="232" spans="1:9" x14ac:dyDescent="0.2">
      <c r="A232" s="64" t="s">
        <v>487</v>
      </c>
      <c r="B232" s="16" t="s">
        <v>521</v>
      </c>
      <c r="C232" s="16" t="s">
        <v>542</v>
      </c>
      <c r="D232" s="16" t="s">
        <v>166</v>
      </c>
      <c r="E232" s="16"/>
      <c r="F232" s="16"/>
      <c r="G232" s="32">
        <f t="shared" ref="G232:H236" si="21">G233</f>
        <v>2000</v>
      </c>
      <c r="H232" s="32">
        <f t="shared" si="21"/>
        <v>1958.1479999999999</v>
      </c>
      <c r="I232" s="32">
        <f t="shared" si="17"/>
        <v>97.907399999999996</v>
      </c>
    </row>
    <row r="233" spans="1:9" x14ac:dyDescent="0.2">
      <c r="A233" s="64" t="s">
        <v>491</v>
      </c>
      <c r="B233" s="16" t="s">
        <v>521</v>
      </c>
      <c r="C233" s="16" t="s">
        <v>542</v>
      </c>
      <c r="D233" s="16" t="s">
        <v>591</v>
      </c>
      <c r="E233" s="16"/>
      <c r="F233" s="16"/>
      <c r="G233" s="32">
        <f t="shared" si="21"/>
        <v>2000</v>
      </c>
      <c r="H233" s="32">
        <f t="shared" si="21"/>
        <v>1958.1479999999999</v>
      </c>
      <c r="I233" s="32">
        <f t="shared" si="17"/>
        <v>97.907399999999996</v>
      </c>
    </row>
    <row r="234" spans="1:9" ht="27" x14ac:dyDescent="0.2">
      <c r="A234" s="70" t="s">
        <v>348</v>
      </c>
      <c r="B234" s="43" t="s">
        <v>521</v>
      </c>
      <c r="C234" s="43" t="s">
        <v>542</v>
      </c>
      <c r="D234" s="43" t="s">
        <v>591</v>
      </c>
      <c r="E234" s="77" t="s">
        <v>335</v>
      </c>
      <c r="F234" s="43"/>
      <c r="G234" s="47">
        <f t="shared" si="21"/>
        <v>2000</v>
      </c>
      <c r="H234" s="47">
        <f t="shared" si="21"/>
        <v>1958.1479999999999</v>
      </c>
      <c r="I234" s="47">
        <f t="shared" si="17"/>
        <v>97.907399999999996</v>
      </c>
    </row>
    <row r="235" spans="1:9" ht="14.25" customHeight="1" x14ac:dyDescent="0.2">
      <c r="A235" s="64" t="s">
        <v>328</v>
      </c>
      <c r="B235" s="16" t="s">
        <v>521</v>
      </c>
      <c r="C235" s="16" t="s">
        <v>542</v>
      </c>
      <c r="D235" s="16" t="s">
        <v>591</v>
      </c>
      <c r="E235" s="16" t="s">
        <v>27</v>
      </c>
      <c r="F235" s="16"/>
      <c r="G235" s="95">
        <f t="shared" si="21"/>
        <v>2000</v>
      </c>
      <c r="H235" s="95">
        <f t="shared" si="21"/>
        <v>1958.1479999999999</v>
      </c>
      <c r="I235" s="32">
        <f t="shared" si="17"/>
        <v>97.907399999999996</v>
      </c>
    </row>
    <row r="236" spans="1:9" x14ac:dyDescent="0.2">
      <c r="A236" s="68" t="s">
        <v>378</v>
      </c>
      <c r="B236" s="22" t="s">
        <v>521</v>
      </c>
      <c r="C236" s="22" t="s">
        <v>542</v>
      </c>
      <c r="D236" s="22" t="s">
        <v>591</v>
      </c>
      <c r="E236" s="22" t="s">
        <v>27</v>
      </c>
      <c r="F236" s="22" t="s">
        <v>175</v>
      </c>
      <c r="G236" s="96">
        <f t="shared" si="21"/>
        <v>2000</v>
      </c>
      <c r="H236" s="96">
        <f t="shared" si="21"/>
        <v>1958.1479999999999</v>
      </c>
      <c r="I236" s="31">
        <f t="shared" si="17"/>
        <v>97.907399999999996</v>
      </c>
    </row>
    <row r="237" spans="1:9" ht="15" customHeight="1" x14ac:dyDescent="0.2">
      <c r="A237" s="68" t="s">
        <v>176</v>
      </c>
      <c r="B237" s="22" t="s">
        <v>521</v>
      </c>
      <c r="C237" s="22" t="s">
        <v>542</v>
      </c>
      <c r="D237" s="22" t="s">
        <v>591</v>
      </c>
      <c r="E237" s="22" t="s">
        <v>27</v>
      </c>
      <c r="F237" s="22" t="s">
        <v>177</v>
      </c>
      <c r="G237" s="96">
        <f>500+2000-500</f>
        <v>2000</v>
      </c>
      <c r="H237" s="96">
        <v>1958.1479999999999</v>
      </c>
      <c r="I237" s="31">
        <f t="shared" si="17"/>
        <v>97.907399999999996</v>
      </c>
    </row>
    <row r="238" spans="1:9" x14ac:dyDescent="0.2">
      <c r="A238" s="64" t="s">
        <v>493</v>
      </c>
      <c r="B238" s="16" t="s">
        <v>521</v>
      </c>
      <c r="C238" s="16" t="s">
        <v>598</v>
      </c>
      <c r="D238" s="16" t="s">
        <v>166</v>
      </c>
      <c r="E238" s="22"/>
      <c r="F238" s="22"/>
      <c r="G238" s="32">
        <f t="shared" ref="G238:H243" si="22">G239</f>
        <v>57</v>
      </c>
      <c r="H238" s="32">
        <f t="shared" si="22"/>
        <v>56.999989999999997</v>
      </c>
      <c r="I238" s="32">
        <f t="shared" si="17"/>
        <v>99.999982456140344</v>
      </c>
    </row>
    <row r="239" spans="1:9" x14ac:dyDescent="0.2">
      <c r="A239" s="64" t="s">
        <v>496</v>
      </c>
      <c r="B239" s="16" t="s">
        <v>521</v>
      </c>
      <c r="C239" s="16" t="s">
        <v>598</v>
      </c>
      <c r="D239" s="16" t="s">
        <v>598</v>
      </c>
      <c r="E239" s="16"/>
      <c r="F239" s="16"/>
      <c r="G239" s="32">
        <f t="shared" si="22"/>
        <v>57</v>
      </c>
      <c r="H239" s="32">
        <f t="shared" si="22"/>
        <v>56.999989999999997</v>
      </c>
      <c r="I239" s="32">
        <f t="shared" si="17"/>
        <v>99.999982456140344</v>
      </c>
    </row>
    <row r="240" spans="1:9" x14ac:dyDescent="0.2">
      <c r="A240" s="65" t="s">
        <v>163</v>
      </c>
      <c r="B240" s="17">
        <v>599</v>
      </c>
      <c r="C240" s="17" t="s">
        <v>598</v>
      </c>
      <c r="D240" s="17" t="s">
        <v>598</v>
      </c>
      <c r="E240" s="17" t="s">
        <v>293</v>
      </c>
      <c r="F240" s="17"/>
      <c r="G240" s="35">
        <f t="shared" si="22"/>
        <v>57</v>
      </c>
      <c r="H240" s="35">
        <f t="shared" si="22"/>
        <v>56.999989999999997</v>
      </c>
      <c r="I240" s="35">
        <f t="shared" si="17"/>
        <v>99.999982456140344</v>
      </c>
    </row>
    <row r="241" spans="1:9" x14ac:dyDescent="0.2">
      <c r="A241" s="66" t="s">
        <v>381</v>
      </c>
      <c r="B241" s="16" t="s">
        <v>521</v>
      </c>
      <c r="C241" s="16" t="s">
        <v>598</v>
      </c>
      <c r="D241" s="16" t="s">
        <v>598</v>
      </c>
      <c r="E241" s="16" t="s">
        <v>294</v>
      </c>
      <c r="F241" s="16"/>
      <c r="G241" s="32">
        <f t="shared" si="22"/>
        <v>57</v>
      </c>
      <c r="H241" s="32">
        <f t="shared" si="22"/>
        <v>56.999989999999997</v>
      </c>
      <c r="I241" s="32">
        <f t="shared" si="17"/>
        <v>99.999982456140344</v>
      </c>
    </row>
    <row r="242" spans="1:9" x14ac:dyDescent="0.2">
      <c r="A242" s="65" t="s">
        <v>410</v>
      </c>
      <c r="B242" s="17" t="s">
        <v>521</v>
      </c>
      <c r="C242" s="17" t="s">
        <v>598</v>
      </c>
      <c r="D242" s="17" t="s">
        <v>598</v>
      </c>
      <c r="E242" s="17" t="s">
        <v>28</v>
      </c>
      <c r="F242" s="17"/>
      <c r="G242" s="35">
        <f t="shared" si="22"/>
        <v>57</v>
      </c>
      <c r="H242" s="35">
        <f t="shared" si="22"/>
        <v>56.999989999999997</v>
      </c>
      <c r="I242" s="35">
        <f t="shared" si="17"/>
        <v>99.999982456140344</v>
      </c>
    </row>
    <row r="243" spans="1:9" x14ac:dyDescent="0.2">
      <c r="A243" s="68" t="s">
        <v>378</v>
      </c>
      <c r="B243" s="22" t="s">
        <v>521</v>
      </c>
      <c r="C243" s="22" t="s">
        <v>598</v>
      </c>
      <c r="D243" s="22" t="s">
        <v>598</v>
      </c>
      <c r="E243" s="22" t="s">
        <v>28</v>
      </c>
      <c r="F243" s="22" t="s">
        <v>175</v>
      </c>
      <c r="G243" s="31">
        <f t="shared" si="22"/>
        <v>57</v>
      </c>
      <c r="H243" s="31">
        <f t="shared" si="22"/>
        <v>56.999989999999997</v>
      </c>
      <c r="I243" s="31">
        <f t="shared" si="17"/>
        <v>99.999982456140344</v>
      </c>
    </row>
    <row r="244" spans="1:9" ht="15" customHeight="1" x14ac:dyDescent="0.2">
      <c r="A244" s="68" t="s">
        <v>176</v>
      </c>
      <c r="B244" s="22" t="s">
        <v>521</v>
      </c>
      <c r="C244" s="22" t="s">
        <v>598</v>
      </c>
      <c r="D244" s="22" t="s">
        <v>598</v>
      </c>
      <c r="E244" s="22" t="s">
        <v>28</v>
      </c>
      <c r="F244" s="22" t="s">
        <v>177</v>
      </c>
      <c r="G244" s="31">
        <f>375-318</f>
        <v>57</v>
      </c>
      <c r="H244" s="31">
        <v>56.999989999999997</v>
      </c>
      <c r="I244" s="31">
        <f t="shared" si="17"/>
        <v>99.999982456140344</v>
      </c>
    </row>
    <row r="245" spans="1:9" x14ac:dyDescent="0.2">
      <c r="A245" s="64" t="s">
        <v>520</v>
      </c>
      <c r="B245" s="16" t="s">
        <v>521</v>
      </c>
      <c r="C245" s="16" t="s">
        <v>88</v>
      </c>
      <c r="D245" s="16" t="s">
        <v>166</v>
      </c>
      <c r="E245" s="16"/>
      <c r="F245" s="16"/>
      <c r="G245" s="32">
        <f t="shared" ref="G245:H250" si="23">G246</f>
        <v>207</v>
      </c>
      <c r="H245" s="32">
        <f t="shared" si="23"/>
        <v>207</v>
      </c>
      <c r="I245" s="32">
        <f t="shared" si="17"/>
        <v>100</v>
      </c>
    </row>
    <row r="246" spans="1:9" x14ac:dyDescent="0.2">
      <c r="A246" s="64" t="s">
        <v>507</v>
      </c>
      <c r="B246" s="16" t="s">
        <v>521</v>
      </c>
      <c r="C246" s="16" t="s">
        <v>88</v>
      </c>
      <c r="D246" s="16" t="s">
        <v>591</v>
      </c>
      <c r="E246" s="16"/>
      <c r="F246" s="16"/>
      <c r="G246" s="32">
        <f t="shared" si="23"/>
        <v>207</v>
      </c>
      <c r="H246" s="32">
        <f t="shared" si="23"/>
        <v>207</v>
      </c>
      <c r="I246" s="32">
        <f t="shared" si="17"/>
        <v>100</v>
      </c>
    </row>
    <row r="247" spans="1:9" x14ac:dyDescent="0.2">
      <c r="A247" s="67" t="s">
        <v>567</v>
      </c>
      <c r="B247" s="17" t="s">
        <v>521</v>
      </c>
      <c r="C247" s="17" t="s">
        <v>88</v>
      </c>
      <c r="D247" s="17" t="s">
        <v>591</v>
      </c>
      <c r="E247" s="17" t="s">
        <v>293</v>
      </c>
      <c r="F247" s="16"/>
      <c r="G247" s="35">
        <f t="shared" si="23"/>
        <v>207</v>
      </c>
      <c r="H247" s="35">
        <f t="shared" si="23"/>
        <v>207</v>
      </c>
      <c r="I247" s="35">
        <f t="shared" si="17"/>
        <v>100</v>
      </c>
    </row>
    <row r="248" spans="1:9" x14ac:dyDescent="0.2">
      <c r="A248" s="64" t="s">
        <v>381</v>
      </c>
      <c r="B248" s="16" t="s">
        <v>521</v>
      </c>
      <c r="C248" s="16" t="s">
        <v>88</v>
      </c>
      <c r="D248" s="16" t="s">
        <v>591</v>
      </c>
      <c r="E248" s="16" t="s">
        <v>294</v>
      </c>
      <c r="F248" s="16"/>
      <c r="G248" s="32">
        <f t="shared" si="23"/>
        <v>207</v>
      </c>
      <c r="H248" s="32">
        <f t="shared" si="23"/>
        <v>207</v>
      </c>
      <c r="I248" s="32">
        <f t="shared" si="17"/>
        <v>100</v>
      </c>
    </row>
    <row r="249" spans="1:9" x14ac:dyDescent="0.2">
      <c r="A249" s="64" t="s">
        <v>182</v>
      </c>
      <c r="B249" s="16" t="s">
        <v>521</v>
      </c>
      <c r="C249" s="16" t="s">
        <v>88</v>
      </c>
      <c r="D249" s="16" t="s">
        <v>591</v>
      </c>
      <c r="E249" s="16" t="s">
        <v>408</v>
      </c>
      <c r="F249" s="16"/>
      <c r="G249" s="95">
        <f t="shared" si="23"/>
        <v>207</v>
      </c>
      <c r="H249" s="95">
        <f t="shared" si="23"/>
        <v>207</v>
      </c>
      <c r="I249" s="32">
        <f t="shared" si="17"/>
        <v>100</v>
      </c>
    </row>
    <row r="250" spans="1:9" x14ac:dyDescent="0.2">
      <c r="A250" s="68" t="s">
        <v>378</v>
      </c>
      <c r="B250" s="22" t="s">
        <v>521</v>
      </c>
      <c r="C250" s="22" t="s">
        <v>88</v>
      </c>
      <c r="D250" s="22" t="s">
        <v>591</v>
      </c>
      <c r="E250" s="22" t="s">
        <v>408</v>
      </c>
      <c r="F250" s="22" t="s">
        <v>175</v>
      </c>
      <c r="G250" s="96">
        <f t="shared" si="23"/>
        <v>207</v>
      </c>
      <c r="H250" s="96">
        <f t="shared" si="23"/>
        <v>207</v>
      </c>
      <c r="I250" s="31">
        <f t="shared" si="17"/>
        <v>100</v>
      </c>
    </row>
    <row r="251" spans="1:9" ht="15" customHeight="1" x14ac:dyDescent="0.2">
      <c r="A251" s="68" t="s">
        <v>176</v>
      </c>
      <c r="B251" s="22" t="s">
        <v>521</v>
      </c>
      <c r="C251" s="22" t="s">
        <v>88</v>
      </c>
      <c r="D251" s="22" t="s">
        <v>591</v>
      </c>
      <c r="E251" s="22" t="s">
        <v>408</v>
      </c>
      <c r="F251" s="22" t="s">
        <v>177</v>
      </c>
      <c r="G251" s="96">
        <v>207</v>
      </c>
      <c r="H251" s="96">
        <v>207</v>
      </c>
      <c r="I251" s="31">
        <f t="shared" si="17"/>
        <v>100</v>
      </c>
    </row>
    <row r="252" spans="1:9" ht="15.75" x14ac:dyDescent="0.2">
      <c r="A252" s="63" t="s">
        <v>264</v>
      </c>
      <c r="B252" s="36" t="s">
        <v>522</v>
      </c>
      <c r="C252" s="37"/>
      <c r="D252" s="37"/>
      <c r="E252" s="36"/>
      <c r="F252" s="36"/>
      <c r="G252" s="86">
        <f>G253+G291+G285+G298+G280</f>
        <v>18802.647999999997</v>
      </c>
      <c r="H252" s="86">
        <f>H253+H291+H285+H298+H280</f>
        <v>17326.640599999999</v>
      </c>
      <c r="I252" s="86">
        <f t="shared" si="17"/>
        <v>92.150002489011129</v>
      </c>
    </row>
    <row r="253" spans="1:9" x14ac:dyDescent="0.2">
      <c r="A253" s="64" t="s">
        <v>198</v>
      </c>
      <c r="B253" s="16" t="s">
        <v>522</v>
      </c>
      <c r="C253" s="16" t="s">
        <v>165</v>
      </c>
      <c r="D253" s="16" t="s">
        <v>166</v>
      </c>
      <c r="E253" s="16"/>
      <c r="F253" s="16"/>
      <c r="G253" s="32">
        <f>G254+G274+G268</f>
        <v>16344.977999999999</v>
      </c>
      <c r="H253" s="32">
        <f>H254+H274+H268</f>
        <v>15244.258999999998</v>
      </c>
      <c r="I253" s="32">
        <f t="shared" si="17"/>
        <v>93.265705221505939</v>
      </c>
    </row>
    <row r="254" spans="1:9" ht="26.25" customHeight="1" x14ac:dyDescent="0.2">
      <c r="A254" s="64" t="s">
        <v>397</v>
      </c>
      <c r="B254" s="16" t="s">
        <v>522</v>
      </c>
      <c r="C254" s="16" t="s">
        <v>165</v>
      </c>
      <c r="D254" s="16" t="s">
        <v>167</v>
      </c>
      <c r="E254" s="16"/>
      <c r="F254" s="16"/>
      <c r="G254" s="32">
        <f>G255</f>
        <v>15953.477999999999</v>
      </c>
      <c r="H254" s="32">
        <f>H255</f>
        <v>14957.758999999998</v>
      </c>
      <c r="I254" s="32">
        <f t="shared" si="17"/>
        <v>93.758608624401518</v>
      </c>
    </row>
    <row r="255" spans="1:9" x14ac:dyDescent="0.2">
      <c r="A255" s="65" t="s">
        <v>163</v>
      </c>
      <c r="B255" s="17" t="s">
        <v>522</v>
      </c>
      <c r="C255" s="17" t="s">
        <v>165</v>
      </c>
      <c r="D255" s="17" t="s">
        <v>167</v>
      </c>
      <c r="E255" s="17" t="s">
        <v>293</v>
      </c>
      <c r="F255" s="17"/>
      <c r="G255" s="35">
        <f>G256</f>
        <v>15953.477999999999</v>
      </c>
      <c r="H255" s="35">
        <f>H256</f>
        <v>14957.758999999998</v>
      </c>
      <c r="I255" s="35">
        <f t="shared" si="17"/>
        <v>93.758608624401518</v>
      </c>
    </row>
    <row r="256" spans="1:9" x14ac:dyDescent="0.2">
      <c r="A256" s="66" t="s">
        <v>381</v>
      </c>
      <c r="B256" s="16" t="s">
        <v>522</v>
      </c>
      <c r="C256" s="16" t="s">
        <v>165</v>
      </c>
      <c r="D256" s="16" t="s">
        <v>167</v>
      </c>
      <c r="E256" s="16" t="s">
        <v>294</v>
      </c>
      <c r="F256" s="16"/>
      <c r="G256" s="32">
        <f>G257+G260+G265</f>
        <v>15953.477999999999</v>
      </c>
      <c r="H256" s="32">
        <f>H257+H260+H265</f>
        <v>14957.758999999998</v>
      </c>
      <c r="I256" s="32">
        <f t="shared" si="17"/>
        <v>93.758608624401518</v>
      </c>
    </row>
    <row r="257" spans="1:9" x14ac:dyDescent="0.2">
      <c r="A257" s="66" t="s">
        <v>380</v>
      </c>
      <c r="B257" s="16" t="s">
        <v>522</v>
      </c>
      <c r="C257" s="16" t="s">
        <v>165</v>
      </c>
      <c r="D257" s="16" t="s">
        <v>167</v>
      </c>
      <c r="E257" s="16" t="s">
        <v>295</v>
      </c>
      <c r="F257" s="16"/>
      <c r="G257" s="32">
        <f>G258</f>
        <v>13370</v>
      </c>
      <c r="H257" s="32">
        <f>H258</f>
        <v>12849.388999999999</v>
      </c>
      <c r="I257" s="32">
        <f t="shared" si="17"/>
        <v>96.106125654450253</v>
      </c>
    </row>
    <row r="258" spans="1:9" ht="36" x14ac:dyDescent="0.2">
      <c r="A258" s="68" t="s">
        <v>168</v>
      </c>
      <c r="B258" s="22" t="s">
        <v>522</v>
      </c>
      <c r="C258" s="22" t="s">
        <v>165</v>
      </c>
      <c r="D258" s="22" t="s">
        <v>167</v>
      </c>
      <c r="E258" s="22" t="s">
        <v>295</v>
      </c>
      <c r="F258" s="22" t="s">
        <v>169</v>
      </c>
      <c r="G258" s="31">
        <f>G259</f>
        <v>13370</v>
      </c>
      <c r="H258" s="31">
        <f>H259</f>
        <v>12849.388999999999</v>
      </c>
      <c r="I258" s="31">
        <f t="shared" si="17"/>
        <v>96.106125654450253</v>
      </c>
    </row>
    <row r="259" spans="1:9" x14ac:dyDescent="0.2">
      <c r="A259" s="68" t="s">
        <v>170</v>
      </c>
      <c r="B259" s="22" t="s">
        <v>522</v>
      </c>
      <c r="C259" s="22" t="s">
        <v>165</v>
      </c>
      <c r="D259" s="22" t="s">
        <v>167</v>
      </c>
      <c r="E259" s="22" t="s">
        <v>295</v>
      </c>
      <c r="F259" s="22" t="s">
        <v>173</v>
      </c>
      <c r="G259" s="31">
        <f>10650+3220-500</f>
        <v>13370</v>
      </c>
      <c r="H259" s="31">
        <v>12849.388999999999</v>
      </c>
      <c r="I259" s="31">
        <f t="shared" si="17"/>
        <v>96.106125654450253</v>
      </c>
    </row>
    <row r="260" spans="1:9" x14ac:dyDescent="0.2">
      <c r="A260" s="64" t="s">
        <v>174</v>
      </c>
      <c r="B260" s="16" t="s">
        <v>522</v>
      </c>
      <c r="C260" s="16" t="s">
        <v>165</v>
      </c>
      <c r="D260" s="16" t="s">
        <v>167</v>
      </c>
      <c r="E260" s="16" t="s">
        <v>296</v>
      </c>
      <c r="F260" s="16"/>
      <c r="G260" s="32">
        <f>G261+G263</f>
        <v>2350</v>
      </c>
      <c r="H260" s="32">
        <f>H261+H263</f>
        <v>1874.8920000000001</v>
      </c>
      <c r="I260" s="32">
        <f t="shared" si="17"/>
        <v>79.782638297872339</v>
      </c>
    </row>
    <row r="261" spans="1:9" x14ac:dyDescent="0.2">
      <c r="A261" s="68" t="s">
        <v>378</v>
      </c>
      <c r="B261" s="22" t="s">
        <v>522</v>
      </c>
      <c r="C261" s="22" t="s">
        <v>165</v>
      </c>
      <c r="D261" s="22" t="s">
        <v>167</v>
      </c>
      <c r="E261" s="22" t="s">
        <v>296</v>
      </c>
      <c r="F261" s="22" t="s">
        <v>175</v>
      </c>
      <c r="G261" s="31">
        <f>G262</f>
        <v>2200</v>
      </c>
      <c r="H261" s="31">
        <f>H262</f>
        <v>1793.4690000000001</v>
      </c>
      <c r="I261" s="31">
        <f t="shared" si="17"/>
        <v>81.521318181818174</v>
      </c>
    </row>
    <row r="262" spans="1:9" ht="15" customHeight="1" x14ac:dyDescent="0.2">
      <c r="A262" s="68" t="s">
        <v>176</v>
      </c>
      <c r="B262" s="22" t="s">
        <v>522</v>
      </c>
      <c r="C262" s="22" t="s">
        <v>165</v>
      </c>
      <c r="D262" s="22" t="s">
        <v>167</v>
      </c>
      <c r="E262" s="22" t="s">
        <v>296</v>
      </c>
      <c r="F262" s="22" t="s">
        <v>177</v>
      </c>
      <c r="G262" s="31">
        <f>2800-600</f>
        <v>2200</v>
      </c>
      <c r="H262" s="31">
        <v>1793.4690000000001</v>
      </c>
      <c r="I262" s="31">
        <f t="shared" si="17"/>
        <v>81.521318181818174</v>
      </c>
    </row>
    <row r="263" spans="1:9" x14ac:dyDescent="0.2">
      <c r="A263" s="68" t="s">
        <v>178</v>
      </c>
      <c r="B263" s="22" t="s">
        <v>522</v>
      </c>
      <c r="C263" s="22" t="s">
        <v>165</v>
      </c>
      <c r="D263" s="22" t="s">
        <v>167</v>
      </c>
      <c r="E263" s="22" t="s">
        <v>296</v>
      </c>
      <c r="F263" s="22" t="s">
        <v>179</v>
      </c>
      <c r="G263" s="31">
        <f>G264</f>
        <v>150</v>
      </c>
      <c r="H263" s="31">
        <f>H264</f>
        <v>81.423000000000002</v>
      </c>
      <c r="I263" s="31">
        <f t="shared" si="17"/>
        <v>54.281999999999996</v>
      </c>
    </row>
    <row r="264" spans="1:9" x14ac:dyDescent="0.2">
      <c r="A264" s="68" t="s">
        <v>87</v>
      </c>
      <c r="B264" s="22" t="s">
        <v>522</v>
      </c>
      <c r="C264" s="22" t="s">
        <v>165</v>
      </c>
      <c r="D264" s="22" t="s">
        <v>167</v>
      </c>
      <c r="E264" s="22" t="s">
        <v>296</v>
      </c>
      <c r="F264" s="22" t="s">
        <v>180</v>
      </c>
      <c r="G264" s="31">
        <v>150</v>
      </c>
      <c r="H264" s="31">
        <v>81.423000000000002</v>
      </c>
      <c r="I264" s="31">
        <f t="shared" si="17"/>
        <v>54.281999999999996</v>
      </c>
    </row>
    <row r="265" spans="1:9" ht="24" x14ac:dyDescent="0.2">
      <c r="A265" s="64" t="s">
        <v>632</v>
      </c>
      <c r="B265" s="16" t="s">
        <v>522</v>
      </c>
      <c r="C265" s="16" t="s">
        <v>165</v>
      </c>
      <c r="D265" s="16" t="s">
        <v>167</v>
      </c>
      <c r="E265" s="16" t="s">
        <v>633</v>
      </c>
      <c r="F265" s="16"/>
      <c r="G265" s="32">
        <f>G266</f>
        <v>233.47800000000001</v>
      </c>
      <c r="H265" s="32">
        <f>H266</f>
        <v>233.47800000000001</v>
      </c>
      <c r="I265" s="32">
        <f t="shared" si="17"/>
        <v>100</v>
      </c>
    </row>
    <row r="266" spans="1:9" ht="36" x14ac:dyDescent="0.2">
      <c r="A266" s="68" t="s">
        <v>168</v>
      </c>
      <c r="B266" s="22" t="s">
        <v>522</v>
      </c>
      <c r="C266" s="22" t="s">
        <v>165</v>
      </c>
      <c r="D266" s="22" t="s">
        <v>167</v>
      </c>
      <c r="E266" s="22" t="s">
        <v>633</v>
      </c>
      <c r="F266" s="22" t="s">
        <v>169</v>
      </c>
      <c r="G266" s="31">
        <f>G267</f>
        <v>233.47800000000001</v>
      </c>
      <c r="H266" s="31">
        <f>H267</f>
        <v>233.47800000000001</v>
      </c>
      <c r="I266" s="31">
        <f t="shared" si="17"/>
        <v>100</v>
      </c>
    </row>
    <row r="267" spans="1:9" x14ac:dyDescent="0.2">
      <c r="A267" s="68" t="s">
        <v>170</v>
      </c>
      <c r="B267" s="22" t="s">
        <v>522</v>
      </c>
      <c r="C267" s="22" t="s">
        <v>165</v>
      </c>
      <c r="D267" s="22" t="s">
        <v>167</v>
      </c>
      <c r="E267" s="22" t="s">
        <v>633</v>
      </c>
      <c r="F267" s="22" t="s">
        <v>173</v>
      </c>
      <c r="G267" s="31">
        <v>233.47800000000001</v>
      </c>
      <c r="H267" s="31">
        <v>233.47800000000001</v>
      </c>
      <c r="I267" s="31">
        <f t="shared" si="17"/>
        <v>100</v>
      </c>
    </row>
    <row r="268" spans="1:9" x14ac:dyDescent="0.2">
      <c r="A268" s="64" t="s">
        <v>565</v>
      </c>
      <c r="B268" s="16" t="s">
        <v>522</v>
      </c>
      <c r="C268" s="16" t="s">
        <v>165</v>
      </c>
      <c r="D268" s="16" t="s">
        <v>542</v>
      </c>
      <c r="E268" s="16"/>
      <c r="F268" s="16"/>
      <c r="G268" s="95">
        <f t="shared" ref="G268:H272" si="24">G269</f>
        <v>91.5</v>
      </c>
      <c r="H268" s="95">
        <f t="shared" si="24"/>
        <v>0</v>
      </c>
      <c r="I268" s="135">
        <f t="shared" si="17"/>
        <v>0</v>
      </c>
    </row>
    <row r="269" spans="1:9" x14ac:dyDescent="0.2">
      <c r="A269" s="65" t="s">
        <v>163</v>
      </c>
      <c r="B269" s="17" t="s">
        <v>522</v>
      </c>
      <c r="C269" s="17" t="s">
        <v>165</v>
      </c>
      <c r="D269" s="17" t="s">
        <v>542</v>
      </c>
      <c r="E269" s="17" t="s">
        <v>293</v>
      </c>
      <c r="F269" s="22"/>
      <c r="G269" s="100">
        <f t="shared" si="24"/>
        <v>91.5</v>
      </c>
      <c r="H269" s="100">
        <f t="shared" si="24"/>
        <v>0</v>
      </c>
      <c r="I269" s="136">
        <f t="shared" si="17"/>
        <v>0</v>
      </c>
    </row>
    <row r="270" spans="1:9" x14ac:dyDescent="0.2">
      <c r="A270" s="66" t="s">
        <v>381</v>
      </c>
      <c r="B270" s="16" t="s">
        <v>522</v>
      </c>
      <c r="C270" s="16" t="s">
        <v>165</v>
      </c>
      <c r="D270" s="16" t="s">
        <v>542</v>
      </c>
      <c r="E270" s="16" t="s">
        <v>294</v>
      </c>
      <c r="F270" s="22"/>
      <c r="G270" s="95">
        <f t="shared" si="24"/>
        <v>91.5</v>
      </c>
      <c r="H270" s="95">
        <f t="shared" si="24"/>
        <v>0</v>
      </c>
      <c r="I270" s="135">
        <f t="shared" si="17"/>
        <v>0</v>
      </c>
    </row>
    <row r="271" spans="1:9" ht="24.75" customHeight="1" x14ac:dyDescent="0.2">
      <c r="A271" s="64" t="s">
        <v>569</v>
      </c>
      <c r="B271" s="16" t="s">
        <v>522</v>
      </c>
      <c r="C271" s="16" t="s">
        <v>165</v>
      </c>
      <c r="D271" s="16" t="s">
        <v>542</v>
      </c>
      <c r="E271" s="16" t="s">
        <v>448</v>
      </c>
      <c r="F271" s="16"/>
      <c r="G271" s="95">
        <f t="shared" si="24"/>
        <v>91.5</v>
      </c>
      <c r="H271" s="95">
        <f t="shared" si="24"/>
        <v>0</v>
      </c>
      <c r="I271" s="135">
        <f t="shared" si="17"/>
        <v>0</v>
      </c>
    </row>
    <row r="272" spans="1:9" x14ac:dyDescent="0.2">
      <c r="A272" s="68" t="s">
        <v>378</v>
      </c>
      <c r="B272" s="22" t="s">
        <v>522</v>
      </c>
      <c r="C272" s="22" t="s">
        <v>165</v>
      </c>
      <c r="D272" s="22" t="s">
        <v>542</v>
      </c>
      <c r="E272" s="22" t="s">
        <v>448</v>
      </c>
      <c r="F272" s="22" t="s">
        <v>175</v>
      </c>
      <c r="G272" s="96">
        <f t="shared" si="24"/>
        <v>91.5</v>
      </c>
      <c r="H272" s="96">
        <f t="shared" si="24"/>
        <v>0</v>
      </c>
      <c r="I272" s="133">
        <f t="shared" si="17"/>
        <v>0</v>
      </c>
    </row>
    <row r="273" spans="1:9" ht="15" customHeight="1" x14ac:dyDescent="0.2">
      <c r="A273" s="68" t="s">
        <v>176</v>
      </c>
      <c r="B273" s="22" t="s">
        <v>522</v>
      </c>
      <c r="C273" s="22" t="s">
        <v>165</v>
      </c>
      <c r="D273" s="22" t="s">
        <v>542</v>
      </c>
      <c r="E273" s="22" t="s">
        <v>448</v>
      </c>
      <c r="F273" s="22" t="s">
        <v>177</v>
      </c>
      <c r="G273" s="96">
        <v>91.5</v>
      </c>
      <c r="H273" s="96">
        <v>0</v>
      </c>
      <c r="I273" s="133">
        <f t="shared" si="17"/>
        <v>0</v>
      </c>
    </row>
    <row r="274" spans="1:9" x14ac:dyDescent="0.2">
      <c r="A274" s="50" t="s">
        <v>405</v>
      </c>
      <c r="B274" s="16" t="s">
        <v>522</v>
      </c>
      <c r="C274" s="16" t="s">
        <v>165</v>
      </c>
      <c r="D274" s="16" t="s">
        <v>184</v>
      </c>
      <c r="E274" s="16"/>
      <c r="F274" s="16"/>
      <c r="G274" s="32">
        <f t="shared" ref="G274:H278" si="25">G275</f>
        <v>300</v>
      </c>
      <c r="H274" s="32">
        <f t="shared" si="25"/>
        <v>286.5</v>
      </c>
      <c r="I274" s="32">
        <f t="shared" si="17"/>
        <v>95.5</v>
      </c>
    </row>
    <row r="275" spans="1:9" ht="27" x14ac:dyDescent="0.2">
      <c r="A275" s="115" t="s">
        <v>147</v>
      </c>
      <c r="B275" s="17" t="s">
        <v>522</v>
      </c>
      <c r="C275" s="17" t="s">
        <v>165</v>
      </c>
      <c r="D275" s="17" t="s">
        <v>184</v>
      </c>
      <c r="E275" s="17" t="s">
        <v>190</v>
      </c>
      <c r="F275" s="17"/>
      <c r="G275" s="35">
        <f t="shared" si="25"/>
        <v>300</v>
      </c>
      <c r="H275" s="35">
        <f t="shared" si="25"/>
        <v>286.5</v>
      </c>
      <c r="I275" s="35">
        <f t="shared" si="17"/>
        <v>95.5</v>
      </c>
    </row>
    <row r="276" spans="1:9" x14ac:dyDescent="0.2">
      <c r="A276" s="50" t="s">
        <v>29</v>
      </c>
      <c r="B276" s="16" t="s">
        <v>522</v>
      </c>
      <c r="C276" s="16" t="s">
        <v>165</v>
      </c>
      <c r="D276" s="16" t="s">
        <v>184</v>
      </c>
      <c r="E276" s="16" t="s">
        <v>32</v>
      </c>
      <c r="F276" s="16"/>
      <c r="G276" s="32">
        <f t="shared" si="25"/>
        <v>300</v>
      </c>
      <c r="H276" s="32">
        <f t="shared" si="25"/>
        <v>286.5</v>
      </c>
      <c r="I276" s="32">
        <f t="shared" si="17"/>
        <v>95.5</v>
      </c>
    </row>
    <row r="277" spans="1:9" x14ac:dyDescent="0.2">
      <c r="A277" s="51" t="s">
        <v>30</v>
      </c>
      <c r="B277" s="17" t="s">
        <v>522</v>
      </c>
      <c r="C277" s="17" t="s">
        <v>165</v>
      </c>
      <c r="D277" s="17" t="s">
        <v>184</v>
      </c>
      <c r="E277" s="17" t="s">
        <v>31</v>
      </c>
      <c r="F277" s="17"/>
      <c r="G277" s="35">
        <f t="shared" si="25"/>
        <v>300</v>
      </c>
      <c r="H277" s="35">
        <f t="shared" si="25"/>
        <v>286.5</v>
      </c>
      <c r="I277" s="35">
        <f t="shared" si="17"/>
        <v>95.5</v>
      </c>
    </row>
    <row r="278" spans="1:9" ht="36" x14ac:dyDescent="0.2">
      <c r="A278" s="68" t="s">
        <v>168</v>
      </c>
      <c r="B278" s="22" t="s">
        <v>522</v>
      </c>
      <c r="C278" s="22" t="s">
        <v>165</v>
      </c>
      <c r="D278" s="22" t="s">
        <v>184</v>
      </c>
      <c r="E278" s="22" t="s">
        <v>31</v>
      </c>
      <c r="F278" s="22" t="s">
        <v>169</v>
      </c>
      <c r="G278" s="31">
        <f t="shared" si="25"/>
        <v>300</v>
      </c>
      <c r="H278" s="31">
        <f t="shared" si="25"/>
        <v>286.5</v>
      </c>
      <c r="I278" s="31">
        <f t="shared" ref="I278:I341" si="26">H278/G278*100</f>
        <v>95.5</v>
      </c>
    </row>
    <row r="279" spans="1:9" x14ac:dyDescent="0.2">
      <c r="A279" s="68" t="s">
        <v>170</v>
      </c>
      <c r="B279" s="22" t="s">
        <v>522</v>
      </c>
      <c r="C279" s="22" t="s">
        <v>165</v>
      </c>
      <c r="D279" s="22" t="s">
        <v>184</v>
      </c>
      <c r="E279" s="22" t="s">
        <v>31</v>
      </c>
      <c r="F279" s="22" t="s">
        <v>173</v>
      </c>
      <c r="G279" s="31">
        <f>400-100</f>
        <v>300</v>
      </c>
      <c r="H279" s="31">
        <v>286.5</v>
      </c>
      <c r="I279" s="31">
        <f t="shared" si="26"/>
        <v>95.5</v>
      </c>
    </row>
    <row r="280" spans="1:9" x14ac:dyDescent="0.2">
      <c r="A280" s="64" t="s">
        <v>475</v>
      </c>
      <c r="B280" s="16" t="s">
        <v>522</v>
      </c>
      <c r="C280" s="16" t="s">
        <v>167</v>
      </c>
      <c r="D280" s="16" t="s">
        <v>166</v>
      </c>
      <c r="E280" s="16"/>
      <c r="F280" s="16"/>
      <c r="G280" s="32">
        <f t="shared" ref="G280:H283" si="27">G281</f>
        <v>110.67</v>
      </c>
      <c r="H280" s="32">
        <f t="shared" si="27"/>
        <v>110.669</v>
      </c>
      <c r="I280" s="32">
        <f t="shared" si="26"/>
        <v>99.999096412758647</v>
      </c>
    </row>
    <row r="281" spans="1:9" x14ac:dyDescent="0.2">
      <c r="A281" s="64" t="s">
        <v>467</v>
      </c>
      <c r="B281" s="16" t="s">
        <v>522</v>
      </c>
      <c r="C281" s="16" t="s">
        <v>167</v>
      </c>
      <c r="D281" s="16" t="s">
        <v>165</v>
      </c>
      <c r="E281" s="16"/>
      <c r="F281" s="16"/>
      <c r="G281" s="32">
        <f t="shared" si="27"/>
        <v>110.67</v>
      </c>
      <c r="H281" s="32">
        <f t="shared" si="27"/>
        <v>110.669</v>
      </c>
      <c r="I281" s="32">
        <f t="shared" si="26"/>
        <v>99.999096412758647</v>
      </c>
    </row>
    <row r="282" spans="1:9" ht="24" x14ac:dyDescent="0.2">
      <c r="A282" s="64" t="s">
        <v>468</v>
      </c>
      <c r="B282" s="16" t="s">
        <v>522</v>
      </c>
      <c r="C282" s="16" t="s">
        <v>167</v>
      </c>
      <c r="D282" s="16" t="s">
        <v>165</v>
      </c>
      <c r="E282" s="16" t="s">
        <v>469</v>
      </c>
      <c r="F282" s="16"/>
      <c r="G282" s="32">
        <f t="shared" si="27"/>
        <v>110.67</v>
      </c>
      <c r="H282" s="32">
        <f t="shared" si="27"/>
        <v>110.669</v>
      </c>
      <c r="I282" s="32">
        <f t="shared" si="26"/>
        <v>99.999096412758647</v>
      </c>
    </row>
    <row r="283" spans="1:9" ht="36" x14ac:dyDescent="0.2">
      <c r="A283" s="68" t="s">
        <v>168</v>
      </c>
      <c r="B283" s="22" t="s">
        <v>522</v>
      </c>
      <c r="C283" s="22" t="s">
        <v>167</v>
      </c>
      <c r="D283" s="22" t="s">
        <v>165</v>
      </c>
      <c r="E283" s="22" t="s">
        <v>469</v>
      </c>
      <c r="F283" s="22" t="s">
        <v>169</v>
      </c>
      <c r="G283" s="31">
        <f t="shared" si="27"/>
        <v>110.67</v>
      </c>
      <c r="H283" s="31">
        <f t="shared" si="27"/>
        <v>110.669</v>
      </c>
      <c r="I283" s="31">
        <f t="shared" si="26"/>
        <v>99.999096412758647</v>
      </c>
    </row>
    <row r="284" spans="1:9" x14ac:dyDescent="0.2">
      <c r="A284" s="68" t="s">
        <v>170</v>
      </c>
      <c r="B284" s="22" t="s">
        <v>522</v>
      </c>
      <c r="C284" s="22" t="s">
        <v>167</v>
      </c>
      <c r="D284" s="22" t="s">
        <v>165</v>
      </c>
      <c r="E284" s="22" t="s">
        <v>469</v>
      </c>
      <c r="F284" s="22" t="s">
        <v>173</v>
      </c>
      <c r="G284" s="31">
        <v>110.67</v>
      </c>
      <c r="H284" s="31">
        <v>110.669</v>
      </c>
      <c r="I284" s="31">
        <f t="shared" si="26"/>
        <v>99.999096412758647</v>
      </c>
    </row>
    <row r="285" spans="1:9" x14ac:dyDescent="0.2">
      <c r="A285" s="64" t="s">
        <v>487</v>
      </c>
      <c r="B285" s="16" t="s">
        <v>522</v>
      </c>
      <c r="C285" s="16" t="s">
        <v>542</v>
      </c>
      <c r="D285" s="16" t="s">
        <v>166</v>
      </c>
      <c r="E285" s="16"/>
      <c r="F285" s="16"/>
      <c r="G285" s="32">
        <f t="shared" ref="G285:H289" si="28">G286</f>
        <v>1900</v>
      </c>
      <c r="H285" s="32">
        <f t="shared" si="28"/>
        <v>1524.713</v>
      </c>
      <c r="I285" s="32">
        <f t="shared" si="26"/>
        <v>80.248052631578943</v>
      </c>
    </row>
    <row r="286" spans="1:9" x14ac:dyDescent="0.2">
      <c r="A286" s="64" t="s">
        <v>491</v>
      </c>
      <c r="B286" s="16" t="s">
        <v>522</v>
      </c>
      <c r="C286" s="16" t="s">
        <v>542</v>
      </c>
      <c r="D286" s="16" t="s">
        <v>591</v>
      </c>
      <c r="E286" s="16"/>
      <c r="F286" s="16"/>
      <c r="G286" s="32">
        <f t="shared" si="28"/>
        <v>1900</v>
      </c>
      <c r="H286" s="32">
        <f t="shared" si="28"/>
        <v>1524.713</v>
      </c>
      <c r="I286" s="32">
        <f t="shared" si="26"/>
        <v>80.248052631578943</v>
      </c>
    </row>
    <row r="287" spans="1:9" ht="27" x14ac:dyDescent="0.2">
      <c r="A287" s="70" t="s">
        <v>348</v>
      </c>
      <c r="B287" s="43" t="s">
        <v>522</v>
      </c>
      <c r="C287" s="43" t="s">
        <v>542</v>
      </c>
      <c r="D287" s="43" t="s">
        <v>591</v>
      </c>
      <c r="E287" s="77" t="s">
        <v>335</v>
      </c>
      <c r="F287" s="43"/>
      <c r="G287" s="47">
        <f t="shared" si="28"/>
        <v>1900</v>
      </c>
      <c r="H287" s="47">
        <f t="shared" si="28"/>
        <v>1524.713</v>
      </c>
      <c r="I287" s="47">
        <f t="shared" si="26"/>
        <v>80.248052631578943</v>
      </c>
    </row>
    <row r="288" spans="1:9" ht="14.25" customHeight="1" x14ac:dyDescent="0.2">
      <c r="A288" s="64" t="s">
        <v>328</v>
      </c>
      <c r="B288" s="16" t="s">
        <v>522</v>
      </c>
      <c r="C288" s="16" t="s">
        <v>542</v>
      </c>
      <c r="D288" s="16" t="s">
        <v>591</v>
      </c>
      <c r="E288" s="16" t="s">
        <v>27</v>
      </c>
      <c r="F288" s="16"/>
      <c r="G288" s="95">
        <f t="shared" si="28"/>
        <v>1900</v>
      </c>
      <c r="H288" s="95">
        <f t="shared" si="28"/>
        <v>1524.713</v>
      </c>
      <c r="I288" s="32">
        <f t="shared" si="26"/>
        <v>80.248052631578943</v>
      </c>
    </row>
    <row r="289" spans="1:9" x14ac:dyDescent="0.2">
      <c r="A289" s="68" t="s">
        <v>378</v>
      </c>
      <c r="B289" s="22" t="s">
        <v>522</v>
      </c>
      <c r="C289" s="22" t="s">
        <v>542</v>
      </c>
      <c r="D289" s="22" t="s">
        <v>591</v>
      </c>
      <c r="E289" s="22" t="s">
        <v>27</v>
      </c>
      <c r="F289" s="22" t="s">
        <v>175</v>
      </c>
      <c r="G289" s="96">
        <f t="shared" si="28"/>
        <v>1900</v>
      </c>
      <c r="H289" s="96">
        <f t="shared" si="28"/>
        <v>1524.713</v>
      </c>
      <c r="I289" s="31">
        <f t="shared" si="26"/>
        <v>80.248052631578943</v>
      </c>
    </row>
    <row r="290" spans="1:9" ht="15" customHeight="1" x14ac:dyDescent="0.2">
      <c r="A290" s="68" t="s">
        <v>176</v>
      </c>
      <c r="B290" s="22" t="s">
        <v>522</v>
      </c>
      <c r="C290" s="22" t="s">
        <v>542</v>
      </c>
      <c r="D290" s="22" t="s">
        <v>591</v>
      </c>
      <c r="E290" s="22" t="s">
        <v>27</v>
      </c>
      <c r="F290" s="22" t="s">
        <v>177</v>
      </c>
      <c r="G290" s="96">
        <f>500+2000-600</f>
        <v>1900</v>
      </c>
      <c r="H290" s="96">
        <v>1524.713</v>
      </c>
      <c r="I290" s="31">
        <f t="shared" si="26"/>
        <v>80.248052631578943</v>
      </c>
    </row>
    <row r="291" spans="1:9" s="39" customFormat="1" x14ac:dyDescent="0.2">
      <c r="A291" s="64" t="s">
        <v>493</v>
      </c>
      <c r="B291" s="16" t="s">
        <v>522</v>
      </c>
      <c r="C291" s="16" t="s">
        <v>598</v>
      </c>
      <c r="D291" s="16" t="s">
        <v>166</v>
      </c>
      <c r="E291" s="22"/>
      <c r="F291" s="22"/>
      <c r="G291" s="32">
        <f t="shared" ref="G291:H296" si="29">G292</f>
        <v>240</v>
      </c>
      <c r="H291" s="32">
        <f t="shared" si="29"/>
        <v>239.99959999999999</v>
      </c>
      <c r="I291" s="32">
        <f t="shared" si="26"/>
        <v>99.999833333333328</v>
      </c>
    </row>
    <row r="292" spans="1:9" s="39" customFormat="1" x14ac:dyDescent="0.2">
      <c r="A292" s="64" t="s">
        <v>496</v>
      </c>
      <c r="B292" s="16" t="s">
        <v>522</v>
      </c>
      <c r="C292" s="16" t="s">
        <v>598</v>
      </c>
      <c r="D292" s="16" t="s">
        <v>598</v>
      </c>
      <c r="E292" s="16"/>
      <c r="F292" s="16"/>
      <c r="G292" s="32">
        <f t="shared" si="29"/>
        <v>240</v>
      </c>
      <c r="H292" s="32">
        <f t="shared" si="29"/>
        <v>239.99959999999999</v>
      </c>
      <c r="I292" s="32">
        <f t="shared" si="26"/>
        <v>99.999833333333328</v>
      </c>
    </row>
    <row r="293" spans="1:9" s="39" customFormat="1" x14ac:dyDescent="0.2">
      <c r="A293" s="65" t="s">
        <v>163</v>
      </c>
      <c r="B293" s="17" t="s">
        <v>522</v>
      </c>
      <c r="C293" s="17" t="s">
        <v>598</v>
      </c>
      <c r="D293" s="17" t="s">
        <v>598</v>
      </c>
      <c r="E293" s="17" t="s">
        <v>293</v>
      </c>
      <c r="F293" s="17"/>
      <c r="G293" s="35">
        <f t="shared" si="29"/>
        <v>240</v>
      </c>
      <c r="H293" s="35">
        <f t="shared" si="29"/>
        <v>239.99959999999999</v>
      </c>
      <c r="I293" s="35">
        <f t="shared" si="26"/>
        <v>99.999833333333328</v>
      </c>
    </row>
    <row r="294" spans="1:9" s="39" customFormat="1" x14ac:dyDescent="0.2">
      <c r="A294" s="66" t="s">
        <v>381</v>
      </c>
      <c r="B294" s="16" t="s">
        <v>522</v>
      </c>
      <c r="C294" s="16" t="s">
        <v>598</v>
      </c>
      <c r="D294" s="16" t="s">
        <v>598</v>
      </c>
      <c r="E294" s="16" t="s">
        <v>294</v>
      </c>
      <c r="F294" s="16"/>
      <c r="G294" s="32">
        <f t="shared" si="29"/>
        <v>240</v>
      </c>
      <c r="H294" s="32">
        <f t="shared" si="29"/>
        <v>239.99959999999999</v>
      </c>
      <c r="I294" s="32">
        <f t="shared" si="26"/>
        <v>99.999833333333328</v>
      </c>
    </row>
    <row r="295" spans="1:9" s="39" customFormat="1" x14ac:dyDescent="0.2">
      <c r="A295" s="65" t="s">
        <v>410</v>
      </c>
      <c r="B295" s="17" t="s">
        <v>522</v>
      </c>
      <c r="C295" s="17" t="s">
        <v>598</v>
      </c>
      <c r="D295" s="17" t="s">
        <v>598</v>
      </c>
      <c r="E295" s="17" t="s">
        <v>28</v>
      </c>
      <c r="F295" s="17"/>
      <c r="G295" s="35">
        <f t="shared" si="29"/>
        <v>240</v>
      </c>
      <c r="H295" s="35">
        <f t="shared" si="29"/>
        <v>239.99959999999999</v>
      </c>
      <c r="I295" s="35">
        <f t="shared" si="26"/>
        <v>99.999833333333328</v>
      </c>
    </row>
    <row r="296" spans="1:9" s="39" customFormat="1" x14ac:dyDescent="0.2">
      <c r="A296" s="68" t="s">
        <v>378</v>
      </c>
      <c r="B296" s="22" t="s">
        <v>522</v>
      </c>
      <c r="C296" s="22" t="s">
        <v>598</v>
      </c>
      <c r="D296" s="22" t="s">
        <v>598</v>
      </c>
      <c r="E296" s="22" t="s">
        <v>28</v>
      </c>
      <c r="F296" s="22" t="s">
        <v>175</v>
      </c>
      <c r="G296" s="31">
        <f t="shared" si="29"/>
        <v>240</v>
      </c>
      <c r="H296" s="31">
        <f t="shared" si="29"/>
        <v>239.99959999999999</v>
      </c>
      <c r="I296" s="31">
        <f t="shared" si="26"/>
        <v>99.999833333333328</v>
      </c>
    </row>
    <row r="297" spans="1:9" s="39" customFormat="1" ht="15" customHeight="1" x14ac:dyDescent="0.2">
      <c r="A297" s="68" t="s">
        <v>176</v>
      </c>
      <c r="B297" s="22" t="s">
        <v>522</v>
      </c>
      <c r="C297" s="22" t="s">
        <v>598</v>
      </c>
      <c r="D297" s="22" t="s">
        <v>598</v>
      </c>
      <c r="E297" s="22" t="s">
        <v>28</v>
      </c>
      <c r="F297" s="22" t="s">
        <v>177</v>
      </c>
      <c r="G297" s="31">
        <f>375-135</f>
        <v>240</v>
      </c>
      <c r="H297" s="31">
        <v>239.99959999999999</v>
      </c>
      <c r="I297" s="31">
        <f t="shared" si="26"/>
        <v>99.999833333333328</v>
      </c>
    </row>
    <row r="298" spans="1:9" s="39" customFormat="1" x14ac:dyDescent="0.2">
      <c r="A298" s="64" t="s">
        <v>520</v>
      </c>
      <c r="B298" s="16" t="s">
        <v>522</v>
      </c>
      <c r="C298" s="16" t="s">
        <v>88</v>
      </c>
      <c r="D298" s="16" t="s">
        <v>166</v>
      </c>
      <c r="E298" s="16"/>
      <c r="F298" s="16"/>
      <c r="G298" s="32">
        <f t="shared" ref="G298:H303" si="30">G299</f>
        <v>207</v>
      </c>
      <c r="H298" s="32">
        <f t="shared" si="30"/>
        <v>207</v>
      </c>
      <c r="I298" s="32">
        <f t="shared" si="26"/>
        <v>100</v>
      </c>
    </row>
    <row r="299" spans="1:9" s="39" customFormat="1" x14ac:dyDescent="0.2">
      <c r="A299" s="64" t="s">
        <v>507</v>
      </c>
      <c r="B299" s="16" t="s">
        <v>522</v>
      </c>
      <c r="C299" s="16" t="s">
        <v>88</v>
      </c>
      <c r="D299" s="16" t="s">
        <v>591</v>
      </c>
      <c r="E299" s="16"/>
      <c r="F299" s="16"/>
      <c r="G299" s="32">
        <f t="shared" si="30"/>
        <v>207</v>
      </c>
      <c r="H299" s="32">
        <f t="shared" si="30"/>
        <v>207</v>
      </c>
      <c r="I299" s="32">
        <f t="shared" si="26"/>
        <v>100</v>
      </c>
    </row>
    <row r="300" spans="1:9" s="39" customFormat="1" x14ac:dyDescent="0.2">
      <c r="A300" s="67" t="s">
        <v>567</v>
      </c>
      <c r="B300" s="17" t="s">
        <v>522</v>
      </c>
      <c r="C300" s="17" t="s">
        <v>88</v>
      </c>
      <c r="D300" s="17" t="s">
        <v>591</v>
      </c>
      <c r="E300" s="17" t="s">
        <v>293</v>
      </c>
      <c r="F300" s="16"/>
      <c r="G300" s="35">
        <f t="shared" si="30"/>
        <v>207</v>
      </c>
      <c r="H300" s="35">
        <f t="shared" si="30"/>
        <v>207</v>
      </c>
      <c r="I300" s="35">
        <f t="shared" si="26"/>
        <v>100</v>
      </c>
    </row>
    <row r="301" spans="1:9" s="39" customFormat="1" x14ac:dyDescent="0.2">
      <c r="A301" s="64" t="s">
        <v>381</v>
      </c>
      <c r="B301" s="16" t="s">
        <v>522</v>
      </c>
      <c r="C301" s="16" t="s">
        <v>88</v>
      </c>
      <c r="D301" s="16" t="s">
        <v>591</v>
      </c>
      <c r="E301" s="16" t="s">
        <v>294</v>
      </c>
      <c r="F301" s="16"/>
      <c r="G301" s="32">
        <f t="shared" si="30"/>
        <v>207</v>
      </c>
      <c r="H301" s="32">
        <f t="shared" si="30"/>
        <v>207</v>
      </c>
      <c r="I301" s="32">
        <f t="shared" si="26"/>
        <v>100</v>
      </c>
    </row>
    <row r="302" spans="1:9" s="39" customFormat="1" x14ac:dyDescent="0.2">
      <c r="A302" s="64" t="s">
        <v>182</v>
      </c>
      <c r="B302" s="16" t="s">
        <v>522</v>
      </c>
      <c r="C302" s="16" t="s">
        <v>88</v>
      </c>
      <c r="D302" s="16" t="s">
        <v>591</v>
      </c>
      <c r="E302" s="16" t="s">
        <v>408</v>
      </c>
      <c r="F302" s="16"/>
      <c r="G302" s="95">
        <f t="shared" si="30"/>
        <v>207</v>
      </c>
      <c r="H302" s="95">
        <f t="shared" si="30"/>
        <v>207</v>
      </c>
      <c r="I302" s="32">
        <f t="shared" si="26"/>
        <v>100</v>
      </c>
    </row>
    <row r="303" spans="1:9" s="39" customFormat="1" x14ac:dyDescent="0.2">
      <c r="A303" s="68" t="s">
        <v>378</v>
      </c>
      <c r="B303" s="22" t="s">
        <v>522</v>
      </c>
      <c r="C303" s="22" t="s">
        <v>88</v>
      </c>
      <c r="D303" s="22" t="s">
        <v>591</v>
      </c>
      <c r="E303" s="22" t="s">
        <v>408</v>
      </c>
      <c r="F303" s="22" t="s">
        <v>175</v>
      </c>
      <c r="G303" s="96">
        <f t="shared" si="30"/>
        <v>207</v>
      </c>
      <c r="H303" s="96">
        <f t="shared" si="30"/>
        <v>207</v>
      </c>
      <c r="I303" s="31">
        <f t="shared" si="26"/>
        <v>100</v>
      </c>
    </row>
    <row r="304" spans="1:9" s="39" customFormat="1" ht="15" customHeight="1" x14ac:dyDescent="0.2">
      <c r="A304" s="68" t="s">
        <v>176</v>
      </c>
      <c r="B304" s="22" t="s">
        <v>522</v>
      </c>
      <c r="C304" s="22" t="s">
        <v>88</v>
      </c>
      <c r="D304" s="22" t="s">
        <v>591</v>
      </c>
      <c r="E304" s="22" t="s">
        <v>408</v>
      </c>
      <c r="F304" s="22" t="s">
        <v>177</v>
      </c>
      <c r="G304" s="96">
        <v>207</v>
      </c>
      <c r="H304" s="96">
        <v>207</v>
      </c>
      <c r="I304" s="31">
        <f t="shared" si="26"/>
        <v>100</v>
      </c>
    </row>
    <row r="305" spans="1:9" s="39" customFormat="1" ht="31.5" x14ac:dyDescent="0.2">
      <c r="A305" s="63" t="s">
        <v>266</v>
      </c>
      <c r="B305" s="36" t="s">
        <v>265</v>
      </c>
      <c r="C305" s="37"/>
      <c r="D305" s="37"/>
      <c r="E305" s="36"/>
      <c r="F305" s="36"/>
      <c r="G305" s="86">
        <f>G306+G320</f>
        <v>40218.47</v>
      </c>
      <c r="H305" s="86">
        <f>H306+H320</f>
        <v>36994.383999999998</v>
      </c>
      <c r="I305" s="86">
        <f t="shared" si="26"/>
        <v>91.983568743415645</v>
      </c>
    </row>
    <row r="306" spans="1:9" s="39" customFormat="1" x14ac:dyDescent="0.2">
      <c r="A306" s="50" t="s">
        <v>493</v>
      </c>
      <c r="B306" s="16" t="s">
        <v>265</v>
      </c>
      <c r="C306" s="16" t="s">
        <v>598</v>
      </c>
      <c r="D306" s="16" t="s">
        <v>166</v>
      </c>
      <c r="E306" s="22"/>
      <c r="F306" s="22"/>
      <c r="G306" s="27">
        <f>G307+G314</f>
        <v>32443.599999999999</v>
      </c>
      <c r="H306" s="27">
        <f>H307+H314</f>
        <v>29754.767</v>
      </c>
      <c r="I306" s="27">
        <f t="shared" si="26"/>
        <v>91.712285319754898</v>
      </c>
    </row>
    <row r="307" spans="1:9" s="39" customFormat="1" x14ac:dyDescent="0.2">
      <c r="A307" s="64" t="s">
        <v>358</v>
      </c>
      <c r="B307" s="16" t="s">
        <v>265</v>
      </c>
      <c r="C307" s="16" t="s">
        <v>598</v>
      </c>
      <c r="D307" s="16" t="s">
        <v>591</v>
      </c>
      <c r="E307" s="16"/>
      <c r="F307" s="16"/>
      <c r="G307" s="32">
        <f t="shared" ref="G307:H312" si="31">G308</f>
        <v>29443.599999999999</v>
      </c>
      <c r="H307" s="32">
        <f t="shared" si="31"/>
        <v>27148.467000000001</v>
      </c>
      <c r="I307" s="32">
        <f t="shared" si="26"/>
        <v>92.204985124101682</v>
      </c>
    </row>
    <row r="308" spans="1:9" s="39" customFormat="1" ht="27" x14ac:dyDescent="0.2">
      <c r="A308" s="70" t="s">
        <v>67</v>
      </c>
      <c r="B308" s="43" t="s">
        <v>265</v>
      </c>
      <c r="C308" s="43" t="s">
        <v>598</v>
      </c>
      <c r="D308" s="43" t="s">
        <v>591</v>
      </c>
      <c r="E308" s="43" t="s">
        <v>129</v>
      </c>
      <c r="F308" s="43"/>
      <c r="G308" s="47">
        <f t="shared" si="31"/>
        <v>29443.599999999999</v>
      </c>
      <c r="H308" s="47">
        <f t="shared" si="31"/>
        <v>27148.467000000001</v>
      </c>
      <c r="I308" s="47">
        <f t="shared" si="26"/>
        <v>92.204985124101682</v>
      </c>
    </row>
    <row r="309" spans="1:9" s="39" customFormat="1" ht="25.5" x14ac:dyDescent="0.2">
      <c r="A309" s="56" t="s">
        <v>128</v>
      </c>
      <c r="B309" s="16" t="s">
        <v>265</v>
      </c>
      <c r="C309" s="16" t="s">
        <v>598</v>
      </c>
      <c r="D309" s="16" t="s">
        <v>591</v>
      </c>
      <c r="E309" s="16" t="s">
        <v>130</v>
      </c>
      <c r="F309" s="16"/>
      <c r="G309" s="32">
        <f t="shared" si="31"/>
        <v>29443.599999999999</v>
      </c>
      <c r="H309" s="32">
        <f t="shared" si="31"/>
        <v>27148.467000000001</v>
      </c>
      <c r="I309" s="32">
        <f t="shared" si="26"/>
        <v>92.204985124101682</v>
      </c>
    </row>
    <row r="310" spans="1:9" s="39" customFormat="1" ht="25.5" x14ac:dyDescent="0.2">
      <c r="A310" s="56" t="s">
        <v>131</v>
      </c>
      <c r="B310" s="16" t="s">
        <v>265</v>
      </c>
      <c r="C310" s="16" t="s">
        <v>598</v>
      </c>
      <c r="D310" s="16" t="s">
        <v>591</v>
      </c>
      <c r="E310" s="16" t="s">
        <v>69</v>
      </c>
      <c r="F310" s="16"/>
      <c r="G310" s="32">
        <f t="shared" si="31"/>
        <v>29443.599999999999</v>
      </c>
      <c r="H310" s="32">
        <f t="shared" si="31"/>
        <v>27148.467000000001</v>
      </c>
      <c r="I310" s="32">
        <f t="shared" si="26"/>
        <v>92.204985124101682</v>
      </c>
    </row>
    <row r="311" spans="1:9" s="39" customFormat="1" ht="24" x14ac:dyDescent="0.2">
      <c r="A311" s="88" t="s">
        <v>392</v>
      </c>
      <c r="B311" s="25" t="s">
        <v>265</v>
      </c>
      <c r="C311" s="25" t="s">
        <v>598</v>
      </c>
      <c r="D311" s="25" t="s">
        <v>591</v>
      </c>
      <c r="E311" s="25" t="s">
        <v>69</v>
      </c>
      <c r="F311" s="25"/>
      <c r="G311" s="85">
        <f t="shared" si="31"/>
        <v>29443.599999999999</v>
      </c>
      <c r="H311" s="85">
        <f t="shared" si="31"/>
        <v>27148.467000000001</v>
      </c>
      <c r="I311" s="85">
        <f t="shared" si="26"/>
        <v>92.204985124101682</v>
      </c>
    </row>
    <row r="312" spans="1:9" s="39" customFormat="1" ht="24" x14ac:dyDescent="0.2">
      <c r="A312" s="68" t="s">
        <v>191</v>
      </c>
      <c r="B312" s="22" t="s">
        <v>265</v>
      </c>
      <c r="C312" s="22" t="s">
        <v>598</v>
      </c>
      <c r="D312" s="22" t="s">
        <v>591</v>
      </c>
      <c r="E312" s="22" t="s">
        <v>69</v>
      </c>
      <c r="F312" s="22" t="s">
        <v>522</v>
      </c>
      <c r="G312" s="31">
        <f t="shared" si="31"/>
        <v>29443.599999999999</v>
      </c>
      <c r="H312" s="31">
        <f t="shared" si="31"/>
        <v>27148.467000000001</v>
      </c>
      <c r="I312" s="31">
        <f t="shared" si="26"/>
        <v>92.204985124101682</v>
      </c>
    </row>
    <row r="313" spans="1:9" s="39" customFormat="1" x14ac:dyDescent="0.2">
      <c r="A313" s="68" t="s">
        <v>89</v>
      </c>
      <c r="B313" s="22" t="s">
        <v>265</v>
      </c>
      <c r="C313" s="22" t="s">
        <v>598</v>
      </c>
      <c r="D313" s="22" t="s">
        <v>591</v>
      </c>
      <c r="E313" s="22" t="s">
        <v>69</v>
      </c>
      <c r="F313" s="22" t="s">
        <v>90</v>
      </c>
      <c r="G313" s="31">
        <v>29443.599999999999</v>
      </c>
      <c r="H313" s="31">
        <v>27148.467000000001</v>
      </c>
      <c r="I313" s="31">
        <f t="shared" si="26"/>
        <v>92.204985124101682</v>
      </c>
    </row>
    <row r="314" spans="1:9" s="39" customFormat="1" x14ac:dyDescent="0.2">
      <c r="A314" s="64" t="s">
        <v>496</v>
      </c>
      <c r="B314" s="16" t="s">
        <v>265</v>
      </c>
      <c r="C314" s="16" t="s">
        <v>598</v>
      </c>
      <c r="D314" s="16" t="s">
        <v>598</v>
      </c>
      <c r="E314" s="22"/>
      <c r="F314" s="22"/>
      <c r="G314" s="32">
        <f t="shared" ref="G314:H318" si="32">G315</f>
        <v>3000</v>
      </c>
      <c r="H314" s="32">
        <f t="shared" si="32"/>
        <v>2606.3000000000002</v>
      </c>
      <c r="I314" s="32">
        <f t="shared" si="26"/>
        <v>86.876666666666665</v>
      </c>
    </row>
    <row r="315" spans="1:9" s="39" customFormat="1" ht="27" x14ac:dyDescent="0.2">
      <c r="A315" s="70" t="s">
        <v>67</v>
      </c>
      <c r="B315" s="43" t="s">
        <v>265</v>
      </c>
      <c r="C315" s="43" t="s">
        <v>598</v>
      </c>
      <c r="D315" s="43" t="s">
        <v>598</v>
      </c>
      <c r="E315" s="43" t="s">
        <v>129</v>
      </c>
      <c r="F315" s="22"/>
      <c r="G315" s="32">
        <f t="shared" si="32"/>
        <v>3000</v>
      </c>
      <c r="H315" s="32">
        <f t="shared" si="32"/>
        <v>2606.3000000000002</v>
      </c>
      <c r="I315" s="32">
        <f t="shared" si="26"/>
        <v>86.876666666666665</v>
      </c>
    </row>
    <row r="316" spans="1:9" s="39" customFormat="1" x14ac:dyDescent="0.2">
      <c r="A316" s="61" t="s">
        <v>132</v>
      </c>
      <c r="B316" s="16" t="s">
        <v>265</v>
      </c>
      <c r="C316" s="16" t="s">
        <v>598</v>
      </c>
      <c r="D316" s="16" t="s">
        <v>598</v>
      </c>
      <c r="E316" s="16" t="s">
        <v>133</v>
      </c>
      <c r="F316" s="16"/>
      <c r="G316" s="32">
        <f t="shared" si="32"/>
        <v>3000</v>
      </c>
      <c r="H316" s="32">
        <f t="shared" si="32"/>
        <v>2606.3000000000002</v>
      </c>
      <c r="I316" s="32">
        <f t="shared" si="26"/>
        <v>86.876666666666665</v>
      </c>
    </row>
    <row r="317" spans="1:9" s="39" customFormat="1" ht="24" x14ac:dyDescent="0.2">
      <c r="A317" s="67" t="s">
        <v>450</v>
      </c>
      <c r="B317" s="17" t="s">
        <v>265</v>
      </c>
      <c r="C317" s="17" t="s">
        <v>598</v>
      </c>
      <c r="D317" s="17" t="s">
        <v>598</v>
      </c>
      <c r="E317" s="17" t="s">
        <v>68</v>
      </c>
      <c r="F317" s="17"/>
      <c r="G317" s="35">
        <f t="shared" si="32"/>
        <v>3000</v>
      </c>
      <c r="H317" s="35">
        <f t="shared" si="32"/>
        <v>2606.3000000000002</v>
      </c>
      <c r="I317" s="35">
        <f t="shared" si="26"/>
        <v>86.876666666666665</v>
      </c>
    </row>
    <row r="318" spans="1:9" s="39" customFormat="1" x14ac:dyDescent="0.2">
      <c r="A318" s="68" t="s">
        <v>378</v>
      </c>
      <c r="B318" s="22" t="s">
        <v>265</v>
      </c>
      <c r="C318" s="22" t="s">
        <v>598</v>
      </c>
      <c r="D318" s="22" t="s">
        <v>598</v>
      </c>
      <c r="E318" s="22" t="s">
        <v>68</v>
      </c>
      <c r="F318" s="22" t="s">
        <v>175</v>
      </c>
      <c r="G318" s="31">
        <f t="shared" si="32"/>
        <v>3000</v>
      </c>
      <c r="H318" s="31">
        <f t="shared" si="32"/>
        <v>2606.3000000000002</v>
      </c>
      <c r="I318" s="31">
        <f t="shared" si="26"/>
        <v>86.876666666666665</v>
      </c>
    </row>
    <row r="319" spans="1:9" s="39" customFormat="1" ht="15" customHeight="1" x14ac:dyDescent="0.2">
      <c r="A319" s="68" t="s">
        <v>176</v>
      </c>
      <c r="B319" s="22" t="s">
        <v>265</v>
      </c>
      <c r="C319" s="22" t="s">
        <v>598</v>
      </c>
      <c r="D319" s="22" t="s">
        <v>598</v>
      </c>
      <c r="E319" s="22" t="s">
        <v>68</v>
      </c>
      <c r="F319" s="22" t="s">
        <v>177</v>
      </c>
      <c r="G319" s="31">
        <v>3000</v>
      </c>
      <c r="H319" s="31">
        <v>2606.3000000000002</v>
      </c>
      <c r="I319" s="31">
        <f t="shared" si="26"/>
        <v>86.876666666666665</v>
      </c>
    </row>
    <row r="320" spans="1:9" s="39" customFormat="1" ht="15.75" x14ac:dyDescent="0.2">
      <c r="A320" s="64" t="s">
        <v>511</v>
      </c>
      <c r="B320" s="16" t="s">
        <v>265</v>
      </c>
      <c r="C320" s="16" t="s">
        <v>181</v>
      </c>
      <c r="D320" s="16" t="s">
        <v>166</v>
      </c>
      <c r="E320" s="36"/>
      <c r="F320" s="36"/>
      <c r="G320" s="32">
        <f>G321+G327</f>
        <v>7774.87</v>
      </c>
      <c r="H320" s="32">
        <f>H321+H327</f>
        <v>7239.6170000000002</v>
      </c>
      <c r="I320" s="32">
        <f t="shared" si="26"/>
        <v>93.115601932894052</v>
      </c>
    </row>
    <row r="321" spans="1:9" s="39" customFormat="1" ht="15.75" x14ac:dyDescent="0.2">
      <c r="A321" s="64" t="s">
        <v>152</v>
      </c>
      <c r="B321" s="16" t="s">
        <v>265</v>
      </c>
      <c r="C321" s="16" t="s">
        <v>181</v>
      </c>
      <c r="D321" s="16" t="s">
        <v>165</v>
      </c>
      <c r="E321" s="36"/>
      <c r="F321" s="36"/>
      <c r="G321" s="32">
        <f t="shared" ref="G321:H325" si="33">G322</f>
        <v>4000</v>
      </c>
      <c r="H321" s="32">
        <f t="shared" si="33"/>
        <v>3494.6</v>
      </c>
      <c r="I321" s="32">
        <f t="shared" si="26"/>
        <v>87.364999999999995</v>
      </c>
    </row>
    <row r="322" spans="1:9" s="39" customFormat="1" ht="27" x14ac:dyDescent="0.2">
      <c r="A322" s="70" t="s">
        <v>67</v>
      </c>
      <c r="B322" s="43" t="s">
        <v>265</v>
      </c>
      <c r="C322" s="43" t="s">
        <v>181</v>
      </c>
      <c r="D322" s="43" t="s">
        <v>165</v>
      </c>
      <c r="E322" s="43" t="s">
        <v>129</v>
      </c>
      <c r="F322" s="43"/>
      <c r="G322" s="47">
        <f t="shared" si="33"/>
        <v>4000</v>
      </c>
      <c r="H322" s="47">
        <f t="shared" si="33"/>
        <v>3494.6</v>
      </c>
      <c r="I322" s="47">
        <f t="shared" si="26"/>
        <v>87.364999999999995</v>
      </c>
    </row>
    <row r="323" spans="1:9" s="39" customFormat="1" ht="24" x14ac:dyDescent="0.2">
      <c r="A323" s="64" t="s">
        <v>153</v>
      </c>
      <c r="B323" s="16" t="s">
        <v>265</v>
      </c>
      <c r="C323" s="16" t="s">
        <v>181</v>
      </c>
      <c r="D323" s="16" t="s">
        <v>165</v>
      </c>
      <c r="E323" s="16" t="s">
        <v>155</v>
      </c>
      <c r="F323" s="36"/>
      <c r="G323" s="32">
        <f t="shared" si="33"/>
        <v>4000</v>
      </c>
      <c r="H323" s="32">
        <f t="shared" si="33"/>
        <v>3494.6</v>
      </c>
      <c r="I323" s="32">
        <f t="shared" si="26"/>
        <v>87.364999999999995</v>
      </c>
    </row>
    <row r="324" spans="1:9" s="39" customFormat="1" ht="24" x14ac:dyDescent="0.2">
      <c r="A324" s="67" t="s">
        <v>451</v>
      </c>
      <c r="B324" s="17" t="s">
        <v>265</v>
      </c>
      <c r="C324" s="17" t="s">
        <v>181</v>
      </c>
      <c r="D324" s="17" t="s">
        <v>165</v>
      </c>
      <c r="E324" s="17" t="s">
        <v>71</v>
      </c>
      <c r="F324" s="17"/>
      <c r="G324" s="35">
        <f t="shared" si="33"/>
        <v>4000</v>
      </c>
      <c r="H324" s="35">
        <f t="shared" si="33"/>
        <v>3494.6</v>
      </c>
      <c r="I324" s="35">
        <f t="shared" si="26"/>
        <v>87.364999999999995</v>
      </c>
    </row>
    <row r="325" spans="1:9" s="39" customFormat="1" x14ac:dyDescent="0.2">
      <c r="A325" s="68" t="s">
        <v>378</v>
      </c>
      <c r="B325" s="22" t="s">
        <v>265</v>
      </c>
      <c r="C325" s="22" t="s">
        <v>181</v>
      </c>
      <c r="D325" s="22" t="s">
        <v>165</v>
      </c>
      <c r="E325" s="22" t="s">
        <v>71</v>
      </c>
      <c r="F325" s="22" t="s">
        <v>175</v>
      </c>
      <c r="G325" s="31">
        <f t="shared" si="33"/>
        <v>4000</v>
      </c>
      <c r="H325" s="31">
        <f t="shared" si="33"/>
        <v>3494.6</v>
      </c>
      <c r="I325" s="31">
        <f t="shared" si="26"/>
        <v>87.364999999999995</v>
      </c>
    </row>
    <row r="326" spans="1:9" s="39" customFormat="1" ht="15" customHeight="1" x14ac:dyDescent="0.2">
      <c r="A326" s="68" t="s">
        <v>176</v>
      </c>
      <c r="B326" s="22" t="s">
        <v>265</v>
      </c>
      <c r="C326" s="22" t="s">
        <v>181</v>
      </c>
      <c r="D326" s="22" t="s">
        <v>165</v>
      </c>
      <c r="E326" s="22" t="s">
        <v>71</v>
      </c>
      <c r="F326" s="22" t="s">
        <v>177</v>
      </c>
      <c r="G326" s="31">
        <v>4000</v>
      </c>
      <c r="H326" s="31">
        <v>3494.6</v>
      </c>
      <c r="I326" s="31">
        <f t="shared" si="26"/>
        <v>87.364999999999995</v>
      </c>
    </row>
    <row r="327" spans="1:9" s="39" customFormat="1" x14ac:dyDescent="0.2">
      <c r="A327" s="64" t="s">
        <v>267</v>
      </c>
      <c r="B327" s="16" t="s">
        <v>265</v>
      </c>
      <c r="C327" s="16" t="s">
        <v>181</v>
      </c>
      <c r="D327" s="16" t="s">
        <v>542</v>
      </c>
      <c r="E327" s="16"/>
      <c r="F327" s="16"/>
      <c r="G327" s="32">
        <f>G328+G339</f>
        <v>3774.87</v>
      </c>
      <c r="H327" s="32">
        <f>H328+H339</f>
        <v>3745.0169999999998</v>
      </c>
      <c r="I327" s="32">
        <f t="shared" si="26"/>
        <v>99.209164818920911</v>
      </c>
    </row>
    <row r="328" spans="1:9" s="39" customFormat="1" ht="27" x14ac:dyDescent="0.2">
      <c r="A328" s="70" t="s">
        <v>67</v>
      </c>
      <c r="B328" s="43" t="s">
        <v>265</v>
      </c>
      <c r="C328" s="43" t="s">
        <v>181</v>
      </c>
      <c r="D328" s="43" t="s">
        <v>542</v>
      </c>
      <c r="E328" s="43" t="s">
        <v>129</v>
      </c>
      <c r="F328" s="16"/>
      <c r="G328" s="47">
        <f>G329</f>
        <v>3720</v>
      </c>
      <c r="H328" s="47">
        <f>H329</f>
        <v>3690.1469999999999</v>
      </c>
      <c r="I328" s="47">
        <f t="shared" si="26"/>
        <v>99.197499999999991</v>
      </c>
    </row>
    <row r="329" spans="1:9" s="39" customFormat="1" ht="15" customHeight="1" x14ac:dyDescent="0.2">
      <c r="A329" s="64" t="s">
        <v>156</v>
      </c>
      <c r="B329" s="16" t="s">
        <v>265</v>
      </c>
      <c r="C329" s="16" t="s">
        <v>181</v>
      </c>
      <c r="D329" s="16" t="s">
        <v>542</v>
      </c>
      <c r="E329" s="16" t="s">
        <v>157</v>
      </c>
      <c r="F329" s="16"/>
      <c r="G329" s="32">
        <f>G330+G334</f>
        <v>3720</v>
      </c>
      <c r="H329" s="32">
        <f>H330+H334</f>
        <v>3690.1469999999999</v>
      </c>
      <c r="I329" s="32">
        <f t="shared" si="26"/>
        <v>99.197499999999991</v>
      </c>
    </row>
    <row r="330" spans="1:9" s="39" customFormat="1" ht="27" customHeight="1" x14ac:dyDescent="0.2">
      <c r="A330" s="64" t="s">
        <v>397</v>
      </c>
      <c r="B330" s="16" t="s">
        <v>265</v>
      </c>
      <c r="C330" s="16" t="s">
        <v>181</v>
      </c>
      <c r="D330" s="16" t="s">
        <v>542</v>
      </c>
      <c r="E330" s="16" t="s">
        <v>158</v>
      </c>
      <c r="F330" s="16"/>
      <c r="G330" s="32">
        <f t="shared" ref="G330:H332" si="34">G331</f>
        <v>3635</v>
      </c>
      <c r="H330" s="32">
        <f t="shared" si="34"/>
        <v>3623.0729999999999</v>
      </c>
      <c r="I330" s="32">
        <f t="shared" si="26"/>
        <v>99.671884456671251</v>
      </c>
    </row>
    <row r="331" spans="1:9" s="39" customFormat="1" x14ac:dyDescent="0.2">
      <c r="A331" s="65" t="s">
        <v>380</v>
      </c>
      <c r="B331" s="17" t="s">
        <v>265</v>
      </c>
      <c r="C331" s="17" t="s">
        <v>181</v>
      </c>
      <c r="D331" s="17" t="s">
        <v>542</v>
      </c>
      <c r="E331" s="17" t="s">
        <v>158</v>
      </c>
      <c r="F331" s="17"/>
      <c r="G331" s="35">
        <f t="shared" si="34"/>
        <v>3635</v>
      </c>
      <c r="H331" s="35">
        <f t="shared" si="34"/>
        <v>3623.0729999999999</v>
      </c>
      <c r="I331" s="32">
        <f t="shared" si="26"/>
        <v>99.671884456671251</v>
      </c>
    </row>
    <row r="332" spans="1:9" s="39" customFormat="1" ht="36" x14ac:dyDescent="0.2">
      <c r="A332" s="68" t="s">
        <v>168</v>
      </c>
      <c r="B332" s="22" t="s">
        <v>265</v>
      </c>
      <c r="C332" s="22" t="s">
        <v>181</v>
      </c>
      <c r="D332" s="22" t="s">
        <v>542</v>
      </c>
      <c r="E332" s="22" t="s">
        <v>158</v>
      </c>
      <c r="F332" s="22" t="s">
        <v>169</v>
      </c>
      <c r="G332" s="31">
        <f t="shared" si="34"/>
        <v>3635</v>
      </c>
      <c r="H332" s="31">
        <f t="shared" si="34"/>
        <v>3623.0729999999999</v>
      </c>
      <c r="I332" s="31">
        <f t="shared" si="26"/>
        <v>99.671884456671251</v>
      </c>
    </row>
    <row r="333" spans="1:9" s="39" customFormat="1" x14ac:dyDescent="0.2">
      <c r="A333" s="68" t="s">
        <v>170</v>
      </c>
      <c r="B333" s="22" t="s">
        <v>265</v>
      </c>
      <c r="C333" s="22" t="s">
        <v>181</v>
      </c>
      <c r="D333" s="22" t="s">
        <v>542</v>
      </c>
      <c r="E333" s="22" t="s">
        <v>158</v>
      </c>
      <c r="F333" s="22" t="s">
        <v>173</v>
      </c>
      <c r="G333" s="31">
        <f>2740+70+825</f>
        <v>3635</v>
      </c>
      <c r="H333" s="31">
        <v>3623.0729999999999</v>
      </c>
      <c r="I333" s="31">
        <f t="shared" si="26"/>
        <v>99.671884456671251</v>
      </c>
    </row>
    <row r="334" spans="1:9" s="39" customFormat="1" x14ac:dyDescent="0.2">
      <c r="A334" s="64" t="s">
        <v>174</v>
      </c>
      <c r="B334" s="16" t="s">
        <v>265</v>
      </c>
      <c r="C334" s="16" t="s">
        <v>181</v>
      </c>
      <c r="D334" s="16" t="s">
        <v>542</v>
      </c>
      <c r="E334" s="16" t="s">
        <v>159</v>
      </c>
      <c r="F334" s="16"/>
      <c r="G334" s="32">
        <f>G335+G337</f>
        <v>85</v>
      </c>
      <c r="H334" s="32">
        <f>H335+H337</f>
        <v>67.074000000000012</v>
      </c>
      <c r="I334" s="32">
        <f t="shared" si="26"/>
        <v>78.910588235294128</v>
      </c>
    </row>
    <row r="335" spans="1:9" s="39" customFormat="1" x14ac:dyDescent="0.2">
      <c r="A335" s="68" t="s">
        <v>378</v>
      </c>
      <c r="B335" s="22" t="s">
        <v>265</v>
      </c>
      <c r="C335" s="22" t="s">
        <v>181</v>
      </c>
      <c r="D335" s="22" t="s">
        <v>542</v>
      </c>
      <c r="E335" s="22" t="s">
        <v>159</v>
      </c>
      <c r="F335" s="22" t="s">
        <v>175</v>
      </c>
      <c r="G335" s="31">
        <f>G336</f>
        <v>75</v>
      </c>
      <c r="H335" s="31">
        <f>H336</f>
        <v>66.900000000000006</v>
      </c>
      <c r="I335" s="31">
        <f t="shared" si="26"/>
        <v>89.200000000000017</v>
      </c>
    </row>
    <row r="336" spans="1:9" s="39" customFormat="1" ht="15" customHeight="1" x14ac:dyDescent="0.2">
      <c r="A336" s="68" t="s">
        <v>176</v>
      </c>
      <c r="B336" s="22" t="s">
        <v>265</v>
      </c>
      <c r="C336" s="22" t="s">
        <v>181</v>
      </c>
      <c r="D336" s="22" t="s">
        <v>542</v>
      </c>
      <c r="E336" s="22" t="s">
        <v>159</v>
      </c>
      <c r="F336" s="22" t="s">
        <v>177</v>
      </c>
      <c r="G336" s="31">
        <v>75</v>
      </c>
      <c r="H336" s="31">
        <v>66.900000000000006</v>
      </c>
      <c r="I336" s="31">
        <f t="shared" si="26"/>
        <v>89.200000000000017</v>
      </c>
    </row>
    <row r="337" spans="1:9" s="39" customFormat="1" x14ac:dyDescent="0.2">
      <c r="A337" s="68" t="s">
        <v>178</v>
      </c>
      <c r="B337" s="22" t="s">
        <v>265</v>
      </c>
      <c r="C337" s="22" t="s">
        <v>181</v>
      </c>
      <c r="D337" s="22" t="s">
        <v>542</v>
      </c>
      <c r="E337" s="22" t="s">
        <v>159</v>
      </c>
      <c r="F337" s="22" t="s">
        <v>179</v>
      </c>
      <c r="G337" s="31">
        <f>G338</f>
        <v>10</v>
      </c>
      <c r="H337" s="31">
        <f>H338</f>
        <v>0.17399999999999999</v>
      </c>
      <c r="I337" s="31">
        <f t="shared" si="26"/>
        <v>1.7399999999999998</v>
      </c>
    </row>
    <row r="338" spans="1:9" s="39" customFormat="1" x14ac:dyDescent="0.2">
      <c r="A338" s="68" t="s">
        <v>87</v>
      </c>
      <c r="B338" s="22" t="s">
        <v>265</v>
      </c>
      <c r="C338" s="22" t="s">
        <v>181</v>
      </c>
      <c r="D338" s="22" t="s">
        <v>542</v>
      </c>
      <c r="E338" s="22" t="s">
        <v>159</v>
      </c>
      <c r="F338" s="22" t="s">
        <v>180</v>
      </c>
      <c r="G338" s="31">
        <v>10</v>
      </c>
      <c r="H338" s="31">
        <v>0.17399999999999999</v>
      </c>
      <c r="I338" s="31">
        <f t="shared" si="26"/>
        <v>1.7399999999999998</v>
      </c>
    </row>
    <row r="339" spans="1:9" s="39" customFormat="1" x14ac:dyDescent="0.2">
      <c r="A339" s="66" t="s">
        <v>163</v>
      </c>
      <c r="B339" s="16" t="s">
        <v>265</v>
      </c>
      <c r="C339" s="16" t="s">
        <v>181</v>
      </c>
      <c r="D339" s="16" t="s">
        <v>542</v>
      </c>
      <c r="E339" s="16" t="s">
        <v>293</v>
      </c>
      <c r="F339" s="16"/>
      <c r="G339" s="32">
        <f t="shared" ref="G339:H342" si="35">G340</f>
        <v>54.87</v>
      </c>
      <c r="H339" s="32">
        <f t="shared" si="35"/>
        <v>54.87</v>
      </c>
      <c r="I339" s="32">
        <f t="shared" si="26"/>
        <v>100</v>
      </c>
    </row>
    <row r="340" spans="1:9" s="39" customFormat="1" x14ac:dyDescent="0.2">
      <c r="A340" s="66" t="s">
        <v>381</v>
      </c>
      <c r="B340" s="16" t="s">
        <v>265</v>
      </c>
      <c r="C340" s="16" t="s">
        <v>181</v>
      </c>
      <c r="D340" s="16" t="s">
        <v>542</v>
      </c>
      <c r="E340" s="16" t="s">
        <v>294</v>
      </c>
      <c r="F340" s="16"/>
      <c r="G340" s="32">
        <f t="shared" si="35"/>
        <v>54.87</v>
      </c>
      <c r="H340" s="32">
        <f t="shared" si="35"/>
        <v>54.87</v>
      </c>
      <c r="I340" s="32">
        <f t="shared" si="26"/>
        <v>100</v>
      </c>
    </row>
    <row r="341" spans="1:9" s="39" customFormat="1" ht="24" x14ac:dyDescent="0.2">
      <c r="A341" s="64" t="s">
        <v>632</v>
      </c>
      <c r="B341" s="16" t="s">
        <v>265</v>
      </c>
      <c r="C341" s="16" t="s">
        <v>181</v>
      </c>
      <c r="D341" s="16" t="s">
        <v>542</v>
      </c>
      <c r="E341" s="16" t="s">
        <v>633</v>
      </c>
      <c r="F341" s="16"/>
      <c r="G341" s="32">
        <f t="shared" si="35"/>
        <v>54.87</v>
      </c>
      <c r="H341" s="32">
        <f t="shared" si="35"/>
        <v>54.87</v>
      </c>
      <c r="I341" s="32">
        <f t="shared" si="26"/>
        <v>100</v>
      </c>
    </row>
    <row r="342" spans="1:9" s="39" customFormat="1" ht="36" x14ac:dyDescent="0.2">
      <c r="A342" s="68" t="s">
        <v>168</v>
      </c>
      <c r="B342" s="22" t="s">
        <v>265</v>
      </c>
      <c r="C342" s="22" t="s">
        <v>181</v>
      </c>
      <c r="D342" s="22" t="s">
        <v>542</v>
      </c>
      <c r="E342" s="22" t="s">
        <v>633</v>
      </c>
      <c r="F342" s="22" t="s">
        <v>169</v>
      </c>
      <c r="G342" s="31">
        <f t="shared" si="35"/>
        <v>54.87</v>
      </c>
      <c r="H342" s="31">
        <f t="shared" si="35"/>
        <v>54.87</v>
      </c>
      <c r="I342" s="31">
        <f t="shared" ref="I342:I367" si="36">H342/G342*100</f>
        <v>100</v>
      </c>
    </row>
    <row r="343" spans="1:9" s="39" customFormat="1" x14ac:dyDescent="0.2">
      <c r="A343" s="68" t="s">
        <v>170</v>
      </c>
      <c r="B343" s="22" t="s">
        <v>265</v>
      </c>
      <c r="C343" s="22" t="s">
        <v>181</v>
      </c>
      <c r="D343" s="22" t="s">
        <v>542</v>
      </c>
      <c r="E343" s="22" t="s">
        <v>633</v>
      </c>
      <c r="F343" s="22" t="s">
        <v>173</v>
      </c>
      <c r="G343" s="31">
        <v>54.87</v>
      </c>
      <c r="H343" s="31">
        <v>54.87</v>
      </c>
      <c r="I343" s="31">
        <f t="shared" si="36"/>
        <v>100</v>
      </c>
    </row>
    <row r="344" spans="1:9" s="39" customFormat="1" ht="31.5" x14ac:dyDescent="0.2">
      <c r="A344" s="63" t="s">
        <v>244</v>
      </c>
      <c r="B344" s="36" t="s">
        <v>245</v>
      </c>
      <c r="C344" s="22"/>
      <c r="D344" s="22"/>
      <c r="E344" s="22"/>
      <c r="F344" s="22"/>
      <c r="G344" s="86">
        <f>G345+G352</f>
        <v>970766.84356000018</v>
      </c>
      <c r="H344" s="86">
        <f>H345+H352</f>
        <v>886185.94709999999</v>
      </c>
      <c r="I344" s="86">
        <f t="shared" si="36"/>
        <v>91.287207940701308</v>
      </c>
    </row>
    <row r="345" spans="1:9" s="39" customFormat="1" x14ac:dyDescent="0.2">
      <c r="A345" s="64" t="s">
        <v>198</v>
      </c>
      <c r="B345" s="16" t="s">
        <v>245</v>
      </c>
      <c r="C345" s="16" t="s">
        <v>165</v>
      </c>
      <c r="D345" s="16" t="s">
        <v>166</v>
      </c>
      <c r="E345" s="16"/>
      <c r="F345" s="16"/>
      <c r="G345" s="32">
        <f t="shared" ref="G345:H350" si="37">G346</f>
        <v>2167</v>
      </c>
      <c r="H345" s="32">
        <f t="shared" si="37"/>
        <v>2167</v>
      </c>
      <c r="I345" s="32">
        <f t="shared" si="36"/>
        <v>100</v>
      </c>
    </row>
    <row r="346" spans="1:9" s="39" customFormat="1" x14ac:dyDescent="0.2">
      <c r="A346" s="64" t="s">
        <v>405</v>
      </c>
      <c r="B346" s="16" t="s">
        <v>245</v>
      </c>
      <c r="C346" s="16" t="s">
        <v>165</v>
      </c>
      <c r="D346" s="16" t="s">
        <v>184</v>
      </c>
      <c r="E346" s="16"/>
      <c r="F346" s="16"/>
      <c r="G346" s="32">
        <f t="shared" si="37"/>
        <v>2167</v>
      </c>
      <c r="H346" s="32">
        <f t="shared" si="37"/>
        <v>2167</v>
      </c>
      <c r="I346" s="32">
        <f t="shared" si="36"/>
        <v>100</v>
      </c>
    </row>
    <row r="347" spans="1:9" s="39" customFormat="1" x14ac:dyDescent="0.2">
      <c r="A347" s="64" t="s">
        <v>163</v>
      </c>
      <c r="B347" s="16" t="s">
        <v>245</v>
      </c>
      <c r="C347" s="16" t="s">
        <v>165</v>
      </c>
      <c r="D347" s="16" t="s">
        <v>184</v>
      </c>
      <c r="E347" s="33" t="s">
        <v>293</v>
      </c>
      <c r="F347" s="16"/>
      <c r="G347" s="32">
        <f t="shared" si="37"/>
        <v>2167</v>
      </c>
      <c r="H347" s="32">
        <f t="shared" si="37"/>
        <v>2167</v>
      </c>
      <c r="I347" s="32">
        <f t="shared" si="36"/>
        <v>100</v>
      </c>
    </row>
    <row r="348" spans="1:9" s="39" customFormat="1" x14ac:dyDescent="0.2">
      <c r="A348" s="64" t="s">
        <v>381</v>
      </c>
      <c r="B348" s="16" t="s">
        <v>245</v>
      </c>
      <c r="C348" s="16" t="s">
        <v>165</v>
      </c>
      <c r="D348" s="16" t="s">
        <v>184</v>
      </c>
      <c r="E348" s="33" t="s">
        <v>294</v>
      </c>
      <c r="F348" s="16"/>
      <c r="G348" s="32">
        <f t="shared" si="37"/>
        <v>2167</v>
      </c>
      <c r="H348" s="32">
        <f t="shared" si="37"/>
        <v>2167</v>
      </c>
      <c r="I348" s="32">
        <f t="shared" si="36"/>
        <v>100</v>
      </c>
    </row>
    <row r="349" spans="1:9" s="39" customFormat="1" x14ac:dyDescent="0.2">
      <c r="A349" s="64" t="s">
        <v>406</v>
      </c>
      <c r="B349" s="17" t="s">
        <v>245</v>
      </c>
      <c r="C349" s="17" t="s">
        <v>165</v>
      </c>
      <c r="D349" s="17" t="s">
        <v>184</v>
      </c>
      <c r="E349" s="44" t="s">
        <v>104</v>
      </c>
      <c r="F349" s="17"/>
      <c r="G349" s="35">
        <f t="shared" si="37"/>
        <v>2167</v>
      </c>
      <c r="H349" s="35">
        <f t="shared" si="37"/>
        <v>2167</v>
      </c>
      <c r="I349" s="35">
        <f t="shared" si="36"/>
        <v>100</v>
      </c>
    </row>
    <row r="350" spans="1:9" s="39" customFormat="1" x14ac:dyDescent="0.2">
      <c r="A350" s="68" t="s">
        <v>178</v>
      </c>
      <c r="B350" s="22" t="s">
        <v>245</v>
      </c>
      <c r="C350" s="22" t="s">
        <v>165</v>
      </c>
      <c r="D350" s="22" t="s">
        <v>184</v>
      </c>
      <c r="E350" s="30" t="s">
        <v>104</v>
      </c>
      <c r="F350" s="22" t="s">
        <v>179</v>
      </c>
      <c r="G350" s="31">
        <f t="shared" si="37"/>
        <v>2167</v>
      </c>
      <c r="H350" s="31">
        <f t="shared" si="37"/>
        <v>2167</v>
      </c>
      <c r="I350" s="31">
        <f t="shared" si="36"/>
        <v>100</v>
      </c>
    </row>
    <row r="351" spans="1:9" s="39" customFormat="1" x14ac:dyDescent="0.2">
      <c r="A351" s="68" t="s">
        <v>228</v>
      </c>
      <c r="B351" s="22" t="s">
        <v>245</v>
      </c>
      <c r="C351" s="22" t="s">
        <v>165</v>
      </c>
      <c r="D351" s="22" t="s">
        <v>184</v>
      </c>
      <c r="E351" s="30" t="s">
        <v>104</v>
      </c>
      <c r="F351" s="22" t="s">
        <v>232</v>
      </c>
      <c r="G351" s="31">
        <v>2167</v>
      </c>
      <c r="H351" s="31">
        <v>2167</v>
      </c>
      <c r="I351" s="31">
        <f t="shared" si="36"/>
        <v>100</v>
      </c>
    </row>
    <row r="352" spans="1:9" s="39" customFormat="1" x14ac:dyDescent="0.2">
      <c r="A352" s="64" t="s">
        <v>475</v>
      </c>
      <c r="B352" s="16" t="s">
        <v>245</v>
      </c>
      <c r="C352" s="16" t="s">
        <v>167</v>
      </c>
      <c r="D352" s="16" t="s">
        <v>166</v>
      </c>
      <c r="E352" s="22"/>
      <c r="F352" s="22"/>
      <c r="G352" s="32">
        <f>G353+G373</f>
        <v>968599.84356000018</v>
      </c>
      <c r="H352" s="32">
        <f>H353+H373</f>
        <v>884018.94709999999</v>
      </c>
      <c r="I352" s="32">
        <f t="shared" si="36"/>
        <v>91.267715246666697</v>
      </c>
    </row>
    <row r="353" spans="1:9" s="39" customFormat="1" x14ac:dyDescent="0.2">
      <c r="A353" s="64" t="s">
        <v>486</v>
      </c>
      <c r="B353" s="16" t="s">
        <v>245</v>
      </c>
      <c r="C353" s="16" t="s">
        <v>167</v>
      </c>
      <c r="D353" s="16" t="s">
        <v>596</v>
      </c>
      <c r="E353" s="16"/>
      <c r="F353" s="16"/>
      <c r="G353" s="32">
        <f>G354+G368</f>
        <v>75051.490999999995</v>
      </c>
      <c r="H353" s="32">
        <f>H354+H368</f>
        <v>74851.076430000001</v>
      </c>
      <c r="I353" s="32">
        <f t="shared" si="36"/>
        <v>99.732963906073508</v>
      </c>
    </row>
    <row r="354" spans="1:9" s="39" customFormat="1" ht="27" x14ac:dyDescent="0.2">
      <c r="A354" s="70" t="s">
        <v>629</v>
      </c>
      <c r="B354" s="43" t="s">
        <v>245</v>
      </c>
      <c r="C354" s="43" t="s">
        <v>167</v>
      </c>
      <c r="D354" s="43" t="s">
        <v>596</v>
      </c>
      <c r="E354" s="43" t="s">
        <v>315</v>
      </c>
      <c r="F354" s="43"/>
      <c r="G354" s="47">
        <f>G355+G364</f>
        <v>74947.899999999994</v>
      </c>
      <c r="H354" s="47">
        <f>H355+H364</f>
        <v>74747.485430000001</v>
      </c>
      <c r="I354" s="47">
        <f t="shared" si="36"/>
        <v>99.732594815865426</v>
      </c>
    </row>
    <row r="355" spans="1:9" s="39" customFormat="1" ht="24" x14ac:dyDescent="0.2">
      <c r="A355" s="64" t="s">
        <v>189</v>
      </c>
      <c r="B355" s="16" t="s">
        <v>245</v>
      </c>
      <c r="C355" s="16" t="s">
        <v>167</v>
      </c>
      <c r="D355" s="16" t="s">
        <v>596</v>
      </c>
      <c r="E355" s="16" t="s">
        <v>316</v>
      </c>
      <c r="F355" s="16"/>
      <c r="G355" s="32">
        <f>G356+G359</f>
        <v>4947.9000000000005</v>
      </c>
      <c r="H355" s="32">
        <f>H356+H359</f>
        <v>4747.4854299999997</v>
      </c>
      <c r="I355" s="32">
        <f t="shared" si="36"/>
        <v>95.949502415166009</v>
      </c>
    </row>
    <row r="356" spans="1:9" s="39" customFormat="1" x14ac:dyDescent="0.2">
      <c r="A356" s="66" t="s">
        <v>380</v>
      </c>
      <c r="B356" s="16" t="s">
        <v>245</v>
      </c>
      <c r="C356" s="16" t="s">
        <v>167</v>
      </c>
      <c r="D356" s="16" t="s">
        <v>596</v>
      </c>
      <c r="E356" s="16" t="s">
        <v>418</v>
      </c>
      <c r="F356" s="16"/>
      <c r="G356" s="32">
        <f>G357</f>
        <v>4821.63</v>
      </c>
      <c r="H356" s="32">
        <f>H357</f>
        <v>4621.3059999999996</v>
      </c>
      <c r="I356" s="32">
        <f t="shared" si="36"/>
        <v>95.845305425758497</v>
      </c>
    </row>
    <row r="357" spans="1:9" s="39" customFormat="1" ht="36" x14ac:dyDescent="0.2">
      <c r="A357" s="68" t="s">
        <v>168</v>
      </c>
      <c r="B357" s="22" t="s">
        <v>245</v>
      </c>
      <c r="C357" s="22" t="s">
        <v>167</v>
      </c>
      <c r="D357" s="22" t="s">
        <v>596</v>
      </c>
      <c r="E357" s="22" t="s">
        <v>418</v>
      </c>
      <c r="F357" s="22" t="s">
        <v>169</v>
      </c>
      <c r="G357" s="31">
        <f>G358</f>
        <v>4821.63</v>
      </c>
      <c r="H357" s="31">
        <f>H358</f>
        <v>4621.3059999999996</v>
      </c>
      <c r="I357" s="31">
        <f t="shared" si="36"/>
        <v>95.845305425758497</v>
      </c>
    </row>
    <row r="358" spans="1:9" s="39" customFormat="1" x14ac:dyDescent="0.2">
      <c r="A358" s="68" t="s">
        <v>170</v>
      </c>
      <c r="B358" s="22" t="s">
        <v>245</v>
      </c>
      <c r="C358" s="22" t="s">
        <v>167</v>
      </c>
      <c r="D358" s="22" t="s">
        <v>596</v>
      </c>
      <c r="E358" s="22" t="s">
        <v>418</v>
      </c>
      <c r="F358" s="22" t="s">
        <v>173</v>
      </c>
      <c r="G358" s="31">
        <f>3705.5+1119-2.87</f>
        <v>4821.63</v>
      </c>
      <c r="H358" s="31">
        <v>4621.3059999999996</v>
      </c>
      <c r="I358" s="31">
        <f t="shared" si="36"/>
        <v>95.845305425758497</v>
      </c>
    </row>
    <row r="359" spans="1:9" s="39" customFormat="1" x14ac:dyDescent="0.2">
      <c r="A359" s="64" t="s">
        <v>174</v>
      </c>
      <c r="B359" s="16" t="s">
        <v>245</v>
      </c>
      <c r="C359" s="16" t="s">
        <v>167</v>
      </c>
      <c r="D359" s="16" t="s">
        <v>596</v>
      </c>
      <c r="E359" s="16" t="s">
        <v>419</v>
      </c>
      <c r="F359" s="16"/>
      <c r="G359" s="32">
        <f>G360+G362</f>
        <v>126.27</v>
      </c>
      <c r="H359" s="32">
        <f>H360+H362</f>
        <v>126.17943000000001</v>
      </c>
      <c r="I359" s="32">
        <f t="shared" si="36"/>
        <v>99.928272748871478</v>
      </c>
    </row>
    <row r="360" spans="1:9" s="39" customFormat="1" x14ac:dyDescent="0.2">
      <c r="A360" s="68" t="s">
        <v>378</v>
      </c>
      <c r="B360" s="22" t="s">
        <v>245</v>
      </c>
      <c r="C360" s="22" t="s">
        <v>167</v>
      </c>
      <c r="D360" s="22" t="s">
        <v>596</v>
      </c>
      <c r="E360" s="22" t="s">
        <v>419</v>
      </c>
      <c r="F360" s="22" t="s">
        <v>175</v>
      </c>
      <c r="G360" s="31">
        <f>G361</f>
        <v>126.2</v>
      </c>
      <c r="H360" s="31">
        <f>H361</f>
        <v>126.16500000000001</v>
      </c>
      <c r="I360" s="31">
        <f t="shared" si="36"/>
        <v>99.972266244057053</v>
      </c>
    </row>
    <row r="361" spans="1:9" s="39" customFormat="1" ht="15" customHeight="1" x14ac:dyDescent="0.2">
      <c r="A361" s="68" t="s">
        <v>176</v>
      </c>
      <c r="B361" s="22" t="s">
        <v>245</v>
      </c>
      <c r="C361" s="22" t="s">
        <v>167</v>
      </c>
      <c r="D361" s="22" t="s">
        <v>596</v>
      </c>
      <c r="E361" s="22" t="s">
        <v>419</v>
      </c>
      <c r="F361" s="22" t="s">
        <v>177</v>
      </c>
      <c r="G361" s="31">
        <f>187-60.8</f>
        <v>126.2</v>
      </c>
      <c r="H361" s="31">
        <v>126.16500000000001</v>
      </c>
      <c r="I361" s="31">
        <f t="shared" si="36"/>
        <v>99.972266244057053</v>
      </c>
    </row>
    <row r="362" spans="1:9" s="39" customFormat="1" x14ac:dyDescent="0.2">
      <c r="A362" s="68" t="s">
        <v>178</v>
      </c>
      <c r="B362" s="22" t="s">
        <v>245</v>
      </c>
      <c r="C362" s="22" t="s">
        <v>167</v>
      </c>
      <c r="D362" s="22" t="s">
        <v>596</v>
      </c>
      <c r="E362" s="22" t="s">
        <v>419</v>
      </c>
      <c r="F362" s="22" t="s">
        <v>179</v>
      </c>
      <c r="G362" s="31">
        <f>G363</f>
        <v>6.999999999999984E-2</v>
      </c>
      <c r="H362" s="96">
        <f>H363</f>
        <v>1.443E-2</v>
      </c>
      <c r="I362" s="31">
        <f t="shared" si="36"/>
        <v>20.614285714285764</v>
      </c>
    </row>
    <row r="363" spans="1:9" s="39" customFormat="1" x14ac:dyDescent="0.2">
      <c r="A363" s="68" t="s">
        <v>233</v>
      </c>
      <c r="B363" s="22" t="s">
        <v>245</v>
      </c>
      <c r="C363" s="22" t="s">
        <v>167</v>
      </c>
      <c r="D363" s="22" t="s">
        <v>596</v>
      </c>
      <c r="E363" s="22" t="s">
        <v>419</v>
      </c>
      <c r="F363" s="22" t="s">
        <v>180</v>
      </c>
      <c r="G363" s="31">
        <f>3-2.93</f>
        <v>6.999999999999984E-2</v>
      </c>
      <c r="H363" s="96">
        <v>1.443E-2</v>
      </c>
      <c r="I363" s="31">
        <f t="shared" si="36"/>
        <v>20.614285714285764</v>
      </c>
    </row>
    <row r="364" spans="1:9" s="39" customFormat="1" x14ac:dyDescent="0.2">
      <c r="A364" s="61" t="s">
        <v>420</v>
      </c>
      <c r="B364" s="16" t="s">
        <v>245</v>
      </c>
      <c r="C364" s="16" t="s">
        <v>167</v>
      </c>
      <c r="D364" s="16" t="s">
        <v>596</v>
      </c>
      <c r="E364" s="33" t="s">
        <v>421</v>
      </c>
      <c r="F364" s="17"/>
      <c r="G364" s="32">
        <f t="shared" ref="G364:H366" si="38">G365</f>
        <v>70000</v>
      </c>
      <c r="H364" s="32">
        <f t="shared" si="38"/>
        <v>70000</v>
      </c>
      <c r="I364" s="32">
        <f t="shared" si="36"/>
        <v>100</v>
      </c>
    </row>
    <row r="365" spans="1:9" s="39" customFormat="1" ht="25.5" customHeight="1" x14ac:dyDescent="0.2">
      <c r="A365" s="101" t="s">
        <v>422</v>
      </c>
      <c r="B365" s="17" t="s">
        <v>245</v>
      </c>
      <c r="C365" s="17" t="s">
        <v>167</v>
      </c>
      <c r="D365" s="17" t="s">
        <v>596</v>
      </c>
      <c r="E365" s="44" t="s">
        <v>34</v>
      </c>
      <c r="F365" s="17"/>
      <c r="G365" s="35">
        <f t="shared" si="38"/>
        <v>70000</v>
      </c>
      <c r="H365" s="35">
        <f t="shared" si="38"/>
        <v>70000</v>
      </c>
      <c r="I365" s="35">
        <f t="shared" si="36"/>
        <v>100</v>
      </c>
    </row>
    <row r="366" spans="1:9" s="39" customFormat="1" x14ac:dyDescent="0.2">
      <c r="A366" s="68" t="s">
        <v>178</v>
      </c>
      <c r="B366" s="22" t="s">
        <v>245</v>
      </c>
      <c r="C366" s="22" t="s">
        <v>167</v>
      </c>
      <c r="D366" s="22" t="s">
        <v>596</v>
      </c>
      <c r="E366" s="30" t="s">
        <v>34</v>
      </c>
      <c r="F366" s="22" t="s">
        <v>179</v>
      </c>
      <c r="G366" s="31">
        <f t="shared" si="38"/>
        <v>70000</v>
      </c>
      <c r="H366" s="31">
        <f t="shared" si="38"/>
        <v>70000</v>
      </c>
      <c r="I366" s="31">
        <f t="shared" si="36"/>
        <v>100</v>
      </c>
    </row>
    <row r="367" spans="1:9" s="39" customFormat="1" ht="24" x14ac:dyDescent="0.2">
      <c r="A367" s="68" t="s">
        <v>86</v>
      </c>
      <c r="B367" s="22" t="s">
        <v>245</v>
      </c>
      <c r="C367" s="22" t="s">
        <v>167</v>
      </c>
      <c r="D367" s="22" t="s">
        <v>596</v>
      </c>
      <c r="E367" s="30" t="s">
        <v>34</v>
      </c>
      <c r="F367" s="22" t="s">
        <v>540</v>
      </c>
      <c r="G367" s="31">
        <f>60000+10000</f>
        <v>70000</v>
      </c>
      <c r="H367" s="31">
        <v>70000</v>
      </c>
      <c r="I367" s="31">
        <f t="shared" si="36"/>
        <v>100</v>
      </c>
    </row>
    <row r="368" spans="1:9" s="39" customFormat="1" x14ac:dyDescent="0.2">
      <c r="A368" s="66" t="s">
        <v>163</v>
      </c>
      <c r="B368" s="16" t="s">
        <v>245</v>
      </c>
      <c r="C368" s="16" t="s">
        <v>167</v>
      </c>
      <c r="D368" s="16" t="s">
        <v>596</v>
      </c>
      <c r="E368" s="16" t="s">
        <v>293</v>
      </c>
      <c r="F368" s="16"/>
      <c r="G368" s="32">
        <f t="shared" ref="G368:H371" si="39">G369</f>
        <v>103.59099999999999</v>
      </c>
      <c r="H368" s="32">
        <f t="shared" si="39"/>
        <v>103.59099999999999</v>
      </c>
      <c r="I368" s="32">
        <f t="shared" ref="I368:I399" si="40">H368/G368*100</f>
        <v>100</v>
      </c>
    </row>
    <row r="369" spans="1:9" s="39" customFormat="1" x14ac:dyDescent="0.2">
      <c r="A369" s="66" t="s">
        <v>381</v>
      </c>
      <c r="B369" s="16" t="s">
        <v>245</v>
      </c>
      <c r="C369" s="16" t="s">
        <v>167</v>
      </c>
      <c r="D369" s="16" t="s">
        <v>596</v>
      </c>
      <c r="E369" s="16" t="s">
        <v>294</v>
      </c>
      <c r="F369" s="16"/>
      <c r="G369" s="32">
        <f t="shared" si="39"/>
        <v>103.59099999999999</v>
      </c>
      <c r="H369" s="32">
        <f t="shared" si="39"/>
        <v>103.59099999999999</v>
      </c>
      <c r="I369" s="32">
        <f t="shared" si="40"/>
        <v>100</v>
      </c>
    </row>
    <row r="370" spans="1:9" s="39" customFormat="1" ht="24" x14ac:dyDescent="0.2">
      <c r="A370" s="64" t="s">
        <v>632</v>
      </c>
      <c r="B370" s="16" t="s">
        <v>245</v>
      </c>
      <c r="C370" s="16" t="s">
        <v>167</v>
      </c>
      <c r="D370" s="16" t="s">
        <v>596</v>
      </c>
      <c r="E370" s="16" t="s">
        <v>633</v>
      </c>
      <c r="F370" s="16"/>
      <c r="G370" s="32">
        <f t="shared" si="39"/>
        <v>103.59099999999999</v>
      </c>
      <c r="H370" s="32">
        <f t="shared" si="39"/>
        <v>103.59099999999999</v>
      </c>
      <c r="I370" s="32">
        <f t="shared" si="40"/>
        <v>100</v>
      </c>
    </row>
    <row r="371" spans="1:9" s="39" customFormat="1" ht="36" x14ac:dyDescent="0.2">
      <c r="A371" s="68" t="s">
        <v>168</v>
      </c>
      <c r="B371" s="22" t="s">
        <v>245</v>
      </c>
      <c r="C371" s="22" t="s">
        <v>167</v>
      </c>
      <c r="D371" s="22" t="s">
        <v>596</v>
      </c>
      <c r="E371" s="22" t="s">
        <v>633</v>
      </c>
      <c r="F371" s="22" t="s">
        <v>169</v>
      </c>
      <c r="G371" s="31">
        <f t="shared" si="39"/>
        <v>103.59099999999999</v>
      </c>
      <c r="H371" s="31">
        <f t="shared" si="39"/>
        <v>103.59099999999999</v>
      </c>
      <c r="I371" s="31">
        <f t="shared" si="40"/>
        <v>100</v>
      </c>
    </row>
    <row r="372" spans="1:9" s="39" customFormat="1" x14ac:dyDescent="0.2">
      <c r="A372" s="68" t="s">
        <v>170</v>
      </c>
      <c r="B372" s="22" t="s">
        <v>245</v>
      </c>
      <c r="C372" s="22" t="s">
        <v>167</v>
      </c>
      <c r="D372" s="22" t="s">
        <v>596</v>
      </c>
      <c r="E372" s="22" t="s">
        <v>633</v>
      </c>
      <c r="F372" s="22" t="s">
        <v>173</v>
      </c>
      <c r="G372" s="31">
        <v>103.59099999999999</v>
      </c>
      <c r="H372" s="31">
        <v>103.59099999999999</v>
      </c>
      <c r="I372" s="31">
        <f t="shared" si="40"/>
        <v>100</v>
      </c>
    </row>
    <row r="373" spans="1:9" s="39" customFormat="1" x14ac:dyDescent="0.2">
      <c r="A373" s="64" t="s">
        <v>510</v>
      </c>
      <c r="B373" s="16" t="s">
        <v>245</v>
      </c>
      <c r="C373" s="16" t="s">
        <v>167</v>
      </c>
      <c r="D373" s="16" t="s">
        <v>592</v>
      </c>
      <c r="E373" s="30"/>
      <c r="F373" s="22"/>
      <c r="G373" s="32">
        <f>G374</f>
        <v>893548.35256000014</v>
      </c>
      <c r="H373" s="32">
        <f>H374</f>
        <v>809167.87066999997</v>
      </c>
      <c r="I373" s="32">
        <f t="shared" si="40"/>
        <v>90.556696607603655</v>
      </c>
    </row>
    <row r="374" spans="1:9" s="39" customFormat="1" ht="27" x14ac:dyDescent="0.2">
      <c r="A374" s="70" t="s">
        <v>629</v>
      </c>
      <c r="B374" s="43" t="s">
        <v>245</v>
      </c>
      <c r="C374" s="43" t="s">
        <v>167</v>
      </c>
      <c r="D374" s="43" t="s">
        <v>592</v>
      </c>
      <c r="E374" s="43" t="s">
        <v>315</v>
      </c>
      <c r="F374" s="43"/>
      <c r="G374" s="47">
        <f>G375+G379+G408</f>
        <v>893548.35256000014</v>
      </c>
      <c r="H374" s="47">
        <f>H375+H379+H408</f>
        <v>809167.87066999997</v>
      </c>
      <c r="I374" s="47">
        <f t="shared" si="40"/>
        <v>90.556696607603655</v>
      </c>
    </row>
    <row r="375" spans="1:9" s="39" customFormat="1" ht="24" x14ac:dyDescent="0.2">
      <c r="A375" s="64" t="s">
        <v>189</v>
      </c>
      <c r="B375" s="16" t="s">
        <v>245</v>
      </c>
      <c r="C375" s="16" t="s">
        <v>167</v>
      </c>
      <c r="D375" s="16" t="s">
        <v>592</v>
      </c>
      <c r="E375" s="16" t="s">
        <v>316</v>
      </c>
      <c r="F375" s="43"/>
      <c r="G375" s="32">
        <f t="shared" ref="G375:H377" si="41">G376</f>
        <v>594</v>
      </c>
      <c r="H375" s="32">
        <f t="shared" si="41"/>
        <v>594</v>
      </c>
      <c r="I375" s="32">
        <f t="shared" si="40"/>
        <v>100</v>
      </c>
    </row>
    <row r="376" spans="1:9" s="39" customFormat="1" x14ac:dyDescent="0.2">
      <c r="A376" s="67" t="s">
        <v>307</v>
      </c>
      <c r="B376" s="17" t="s">
        <v>245</v>
      </c>
      <c r="C376" s="17" t="s">
        <v>167</v>
      </c>
      <c r="D376" s="17" t="s">
        <v>592</v>
      </c>
      <c r="E376" s="17" t="s">
        <v>36</v>
      </c>
      <c r="F376" s="17"/>
      <c r="G376" s="35">
        <f t="shared" si="41"/>
        <v>594</v>
      </c>
      <c r="H376" s="35">
        <f t="shared" si="41"/>
        <v>594</v>
      </c>
      <c r="I376" s="32">
        <f t="shared" si="40"/>
        <v>100</v>
      </c>
    </row>
    <row r="377" spans="1:9" s="39" customFormat="1" x14ac:dyDescent="0.2">
      <c r="A377" s="68" t="s">
        <v>378</v>
      </c>
      <c r="B377" s="22" t="s">
        <v>245</v>
      </c>
      <c r="C377" s="22" t="s">
        <v>167</v>
      </c>
      <c r="D377" s="22" t="s">
        <v>592</v>
      </c>
      <c r="E377" s="22" t="s">
        <v>36</v>
      </c>
      <c r="F377" s="22" t="s">
        <v>175</v>
      </c>
      <c r="G377" s="31">
        <f t="shared" si="41"/>
        <v>594</v>
      </c>
      <c r="H377" s="31">
        <f t="shared" si="41"/>
        <v>594</v>
      </c>
      <c r="I377" s="31">
        <f t="shared" si="40"/>
        <v>100</v>
      </c>
    </row>
    <row r="378" spans="1:9" s="39" customFormat="1" ht="15" customHeight="1" x14ac:dyDescent="0.2">
      <c r="A378" s="68" t="s">
        <v>176</v>
      </c>
      <c r="B378" s="22" t="s">
        <v>245</v>
      </c>
      <c r="C378" s="22" t="s">
        <v>167</v>
      </c>
      <c r="D378" s="22" t="s">
        <v>592</v>
      </c>
      <c r="E378" s="22" t="s">
        <v>36</v>
      </c>
      <c r="F378" s="22" t="s">
        <v>177</v>
      </c>
      <c r="G378" s="31">
        <v>594</v>
      </c>
      <c r="H378" s="31">
        <v>594</v>
      </c>
      <c r="I378" s="31">
        <f t="shared" si="40"/>
        <v>100</v>
      </c>
    </row>
    <row r="379" spans="1:9" s="39" customFormat="1" ht="24" x14ac:dyDescent="0.2">
      <c r="A379" s="61" t="s">
        <v>423</v>
      </c>
      <c r="B379" s="16" t="s">
        <v>245</v>
      </c>
      <c r="C379" s="16" t="s">
        <v>167</v>
      </c>
      <c r="D379" s="16" t="s">
        <v>592</v>
      </c>
      <c r="E379" s="33" t="s">
        <v>424</v>
      </c>
      <c r="F379" s="16"/>
      <c r="G379" s="32">
        <f>G380+G383+G388+G393+G396+G399+G402+G405</f>
        <v>874296.0525600001</v>
      </c>
      <c r="H379" s="32">
        <f>H380+H383+H388+H393+H396+H399+H402+H405</f>
        <v>790708.14199999999</v>
      </c>
      <c r="I379" s="32">
        <f t="shared" si="40"/>
        <v>90.439404328173637</v>
      </c>
    </row>
    <row r="380" spans="1:9" s="39" customFormat="1" ht="36" x14ac:dyDescent="0.2">
      <c r="A380" s="67" t="s">
        <v>631</v>
      </c>
      <c r="B380" s="22" t="s">
        <v>245</v>
      </c>
      <c r="C380" s="22" t="s">
        <v>167</v>
      </c>
      <c r="D380" s="22" t="s">
        <v>592</v>
      </c>
      <c r="E380" s="17" t="s">
        <v>35</v>
      </c>
      <c r="F380" s="17"/>
      <c r="G380" s="35">
        <f>G381</f>
        <v>21462.55256</v>
      </c>
      <c r="H380" s="35">
        <f>H381</f>
        <v>10878.296</v>
      </c>
      <c r="I380" s="35">
        <f t="shared" si="40"/>
        <v>50.68500575404066</v>
      </c>
    </row>
    <row r="381" spans="1:9" s="39" customFormat="1" x14ac:dyDescent="0.2">
      <c r="A381" s="68" t="s">
        <v>378</v>
      </c>
      <c r="B381" s="22" t="s">
        <v>245</v>
      </c>
      <c r="C381" s="22" t="s">
        <v>167</v>
      </c>
      <c r="D381" s="22" t="s">
        <v>592</v>
      </c>
      <c r="E381" s="22" t="s">
        <v>35</v>
      </c>
      <c r="F381" s="22" t="s">
        <v>175</v>
      </c>
      <c r="G381" s="31">
        <f>G382</f>
        <v>21462.55256</v>
      </c>
      <c r="H381" s="31">
        <f>H382</f>
        <v>10878.296</v>
      </c>
      <c r="I381" s="31">
        <f t="shared" si="40"/>
        <v>50.68500575404066</v>
      </c>
    </row>
    <row r="382" spans="1:9" s="39" customFormat="1" ht="15" customHeight="1" x14ac:dyDescent="0.2">
      <c r="A382" s="68" t="s">
        <v>176</v>
      </c>
      <c r="B382" s="22" t="s">
        <v>245</v>
      </c>
      <c r="C382" s="22" t="s">
        <v>167</v>
      </c>
      <c r="D382" s="22" t="s">
        <v>592</v>
      </c>
      <c r="E382" s="22" t="s">
        <v>35</v>
      </c>
      <c r="F382" s="22" t="s">
        <v>177</v>
      </c>
      <c r="G382" s="31">
        <f>16929+2323.35933+2210.19323</f>
        <v>21462.55256</v>
      </c>
      <c r="H382" s="31">
        <v>10878.296</v>
      </c>
      <c r="I382" s="31">
        <f t="shared" si="40"/>
        <v>50.68500575404066</v>
      </c>
    </row>
    <row r="383" spans="1:9" s="39" customFormat="1" ht="25.5" customHeight="1" x14ac:dyDescent="0.2">
      <c r="A383" s="69" t="s">
        <v>124</v>
      </c>
      <c r="B383" s="17" t="s">
        <v>245</v>
      </c>
      <c r="C383" s="17" t="s">
        <v>167</v>
      </c>
      <c r="D383" s="17" t="s">
        <v>592</v>
      </c>
      <c r="E383" s="17" t="s">
        <v>120</v>
      </c>
      <c r="F383" s="17"/>
      <c r="G383" s="100">
        <f>G384+G386</f>
        <v>231292.7</v>
      </c>
      <c r="H383" s="100">
        <f>H384+H386</f>
        <v>209497.951</v>
      </c>
      <c r="I383" s="35">
        <f t="shared" si="40"/>
        <v>90.57698362291589</v>
      </c>
    </row>
    <row r="384" spans="1:9" s="39" customFormat="1" x14ac:dyDescent="0.2">
      <c r="A384" s="68" t="s">
        <v>239</v>
      </c>
      <c r="B384" s="22" t="s">
        <v>245</v>
      </c>
      <c r="C384" s="22" t="s">
        <v>167</v>
      </c>
      <c r="D384" s="22" t="s">
        <v>592</v>
      </c>
      <c r="E384" s="22" t="s">
        <v>120</v>
      </c>
      <c r="F384" s="22" t="s">
        <v>175</v>
      </c>
      <c r="G384" s="96">
        <f>G385</f>
        <v>214506.40900000001</v>
      </c>
      <c r="H384" s="96">
        <f>H385</f>
        <v>192711.66</v>
      </c>
      <c r="I384" s="31">
        <f t="shared" si="40"/>
        <v>89.839581436468876</v>
      </c>
    </row>
    <row r="385" spans="1:9" s="39" customFormat="1" ht="15" customHeight="1" x14ac:dyDescent="0.2">
      <c r="A385" s="68" t="s">
        <v>176</v>
      </c>
      <c r="B385" s="22" t="s">
        <v>245</v>
      </c>
      <c r="C385" s="22" t="s">
        <v>167</v>
      </c>
      <c r="D385" s="22" t="s">
        <v>592</v>
      </c>
      <c r="E385" s="22" t="s">
        <v>120</v>
      </c>
      <c r="F385" s="22" t="s">
        <v>177</v>
      </c>
      <c r="G385" s="96">
        <f>134196.9+97095.8-14392.386-2393.905</f>
        <v>214506.40900000001</v>
      </c>
      <c r="H385" s="96">
        <v>192711.66</v>
      </c>
      <c r="I385" s="31">
        <f t="shared" si="40"/>
        <v>89.839581436468876</v>
      </c>
    </row>
    <row r="386" spans="1:9" s="39" customFormat="1" x14ac:dyDescent="0.2">
      <c r="A386" s="68" t="s">
        <v>305</v>
      </c>
      <c r="B386" s="22" t="s">
        <v>245</v>
      </c>
      <c r="C386" s="22" t="s">
        <v>167</v>
      </c>
      <c r="D386" s="22" t="s">
        <v>592</v>
      </c>
      <c r="E386" s="22" t="s">
        <v>120</v>
      </c>
      <c r="F386" s="22" t="s">
        <v>544</v>
      </c>
      <c r="G386" s="96">
        <f>G387</f>
        <v>16786.291000000001</v>
      </c>
      <c r="H386" s="96">
        <f>H387</f>
        <v>16786.291000000001</v>
      </c>
      <c r="I386" s="31">
        <f t="shared" si="40"/>
        <v>100</v>
      </c>
    </row>
    <row r="387" spans="1:9" s="39" customFormat="1" x14ac:dyDescent="0.2">
      <c r="A387" s="68" t="s">
        <v>545</v>
      </c>
      <c r="B387" s="22" t="s">
        <v>245</v>
      </c>
      <c r="C387" s="22" t="s">
        <v>167</v>
      </c>
      <c r="D387" s="22" t="s">
        <v>592</v>
      </c>
      <c r="E387" s="22" t="s">
        <v>120</v>
      </c>
      <c r="F387" s="22" t="s">
        <v>546</v>
      </c>
      <c r="G387" s="96">
        <f>14392.386+2393.905</f>
        <v>16786.291000000001</v>
      </c>
      <c r="H387" s="96">
        <v>16786.291000000001</v>
      </c>
      <c r="I387" s="31">
        <f t="shared" si="40"/>
        <v>100</v>
      </c>
    </row>
    <row r="388" spans="1:9" s="39" customFormat="1" ht="26.25" customHeight="1" x14ac:dyDescent="0.2">
      <c r="A388" s="67" t="s">
        <v>318</v>
      </c>
      <c r="B388" s="17" t="s">
        <v>245</v>
      </c>
      <c r="C388" s="17" t="s">
        <v>167</v>
      </c>
      <c r="D388" s="17" t="s">
        <v>592</v>
      </c>
      <c r="E388" s="17" t="s">
        <v>121</v>
      </c>
      <c r="F388" s="17"/>
      <c r="G388" s="35">
        <f>G389+G391</f>
        <v>25000.000000000004</v>
      </c>
      <c r="H388" s="35">
        <f>H389+H391</f>
        <v>21168.496000000003</v>
      </c>
      <c r="I388" s="35">
        <f t="shared" si="40"/>
        <v>84.673984000000004</v>
      </c>
    </row>
    <row r="389" spans="1:9" s="39" customFormat="1" x14ac:dyDescent="0.2">
      <c r="A389" s="68" t="s">
        <v>378</v>
      </c>
      <c r="B389" s="22" t="s">
        <v>245</v>
      </c>
      <c r="C389" s="22" t="s">
        <v>167</v>
      </c>
      <c r="D389" s="22" t="s">
        <v>592</v>
      </c>
      <c r="E389" s="22" t="s">
        <v>121</v>
      </c>
      <c r="F389" s="22" t="s">
        <v>175</v>
      </c>
      <c r="G389" s="31">
        <f>G390</f>
        <v>24116.511000000002</v>
      </c>
      <c r="H389" s="31">
        <f>H390</f>
        <v>20285.007000000001</v>
      </c>
      <c r="I389" s="31">
        <f t="shared" si="40"/>
        <v>84.112527720116731</v>
      </c>
    </row>
    <row r="390" spans="1:9" s="39" customFormat="1" ht="15" customHeight="1" x14ac:dyDescent="0.2">
      <c r="A390" s="68" t="s">
        <v>176</v>
      </c>
      <c r="B390" s="22" t="s">
        <v>245</v>
      </c>
      <c r="C390" s="22" t="s">
        <v>167</v>
      </c>
      <c r="D390" s="22" t="s">
        <v>592</v>
      </c>
      <c r="E390" s="22" t="s">
        <v>121</v>
      </c>
      <c r="F390" s="22" t="s">
        <v>177</v>
      </c>
      <c r="G390" s="31">
        <f>25000-757.494-125.995</f>
        <v>24116.511000000002</v>
      </c>
      <c r="H390" s="31">
        <v>20285.007000000001</v>
      </c>
      <c r="I390" s="31">
        <f t="shared" si="40"/>
        <v>84.112527720116731</v>
      </c>
    </row>
    <row r="391" spans="1:9" s="39" customFormat="1" x14ac:dyDescent="0.2">
      <c r="A391" s="68" t="s">
        <v>305</v>
      </c>
      <c r="B391" s="22" t="s">
        <v>245</v>
      </c>
      <c r="C391" s="22" t="s">
        <v>167</v>
      </c>
      <c r="D391" s="22" t="s">
        <v>592</v>
      </c>
      <c r="E391" s="22" t="s">
        <v>121</v>
      </c>
      <c r="F391" s="22" t="s">
        <v>544</v>
      </c>
      <c r="G391" s="31">
        <f>G392</f>
        <v>883.48900000000003</v>
      </c>
      <c r="H391" s="31">
        <f>H392</f>
        <v>883.48900000000003</v>
      </c>
      <c r="I391" s="31">
        <f t="shared" si="40"/>
        <v>100</v>
      </c>
    </row>
    <row r="392" spans="1:9" s="39" customFormat="1" x14ac:dyDescent="0.2">
      <c r="A392" s="68" t="s">
        <v>545</v>
      </c>
      <c r="B392" s="22" t="s">
        <v>245</v>
      </c>
      <c r="C392" s="22" t="s">
        <v>167</v>
      </c>
      <c r="D392" s="22" t="s">
        <v>592</v>
      </c>
      <c r="E392" s="22" t="s">
        <v>121</v>
      </c>
      <c r="F392" s="22" t="s">
        <v>546</v>
      </c>
      <c r="G392" s="31">
        <f>757.494+125.995</f>
        <v>883.48900000000003</v>
      </c>
      <c r="H392" s="31">
        <v>883.48900000000003</v>
      </c>
      <c r="I392" s="31">
        <f t="shared" si="40"/>
        <v>100</v>
      </c>
    </row>
    <row r="393" spans="1:9" s="39" customFormat="1" x14ac:dyDescent="0.2">
      <c r="A393" s="67" t="s">
        <v>307</v>
      </c>
      <c r="B393" s="17" t="s">
        <v>245</v>
      </c>
      <c r="C393" s="17" t="s">
        <v>167</v>
      </c>
      <c r="D393" s="17" t="s">
        <v>592</v>
      </c>
      <c r="E393" s="17" t="s">
        <v>37</v>
      </c>
      <c r="F393" s="17"/>
      <c r="G393" s="35">
        <f>G394</f>
        <v>67833.5</v>
      </c>
      <c r="H393" s="35">
        <f>H394</f>
        <v>67833.5</v>
      </c>
      <c r="I393" s="35">
        <f t="shared" si="40"/>
        <v>100</v>
      </c>
    </row>
    <row r="394" spans="1:9" s="39" customFormat="1" x14ac:dyDescent="0.2">
      <c r="A394" s="68" t="s">
        <v>378</v>
      </c>
      <c r="B394" s="22" t="s">
        <v>245</v>
      </c>
      <c r="C394" s="22" t="s">
        <v>167</v>
      </c>
      <c r="D394" s="22" t="s">
        <v>592</v>
      </c>
      <c r="E394" s="22" t="s">
        <v>37</v>
      </c>
      <c r="F394" s="22" t="s">
        <v>175</v>
      </c>
      <c r="G394" s="31">
        <f>G395</f>
        <v>67833.5</v>
      </c>
      <c r="H394" s="31">
        <f>H395</f>
        <v>67833.5</v>
      </c>
      <c r="I394" s="31">
        <f t="shared" si="40"/>
        <v>100</v>
      </c>
    </row>
    <row r="395" spans="1:9" s="39" customFormat="1" ht="15" customHeight="1" x14ac:dyDescent="0.2">
      <c r="A395" s="68" t="s">
        <v>176</v>
      </c>
      <c r="B395" s="22" t="s">
        <v>245</v>
      </c>
      <c r="C395" s="22" t="s">
        <v>167</v>
      </c>
      <c r="D395" s="22" t="s">
        <v>592</v>
      </c>
      <c r="E395" s="22" t="s">
        <v>37</v>
      </c>
      <c r="F395" s="22" t="s">
        <v>177</v>
      </c>
      <c r="G395" s="31">
        <f>80000.5-10000-2167</f>
        <v>67833.5</v>
      </c>
      <c r="H395" s="31">
        <v>67833.5</v>
      </c>
      <c r="I395" s="31">
        <f t="shared" si="40"/>
        <v>100</v>
      </c>
    </row>
    <row r="396" spans="1:9" s="39" customFormat="1" x14ac:dyDescent="0.2">
      <c r="A396" s="67" t="s">
        <v>600</v>
      </c>
      <c r="B396" s="17" t="s">
        <v>245</v>
      </c>
      <c r="C396" s="17" t="s">
        <v>167</v>
      </c>
      <c r="D396" s="17" t="s">
        <v>592</v>
      </c>
      <c r="E396" s="17" t="s">
        <v>601</v>
      </c>
      <c r="F396" s="17"/>
      <c r="G396" s="35">
        <f>G397</f>
        <v>10000</v>
      </c>
      <c r="H396" s="35">
        <f>H397</f>
        <v>8334.7099999999991</v>
      </c>
      <c r="I396" s="35">
        <f t="shared" si="40"/>
        <v>83.347099999999998</v>
      </c>
    </row>
    <row r="397" spans="1:9" s="39" customFormat="1" x14ac:dyDescent="0.2">
      <c r="A397" s="68" t="s">
        <v>378</v>
      </c>
      <c r="B397" s="22" t="s">
        <v>245</v>
      </c>
      <c r="C397" s="22" t="s">
        <v>167</v>
      </c>
      <c r="D397" s="22" t="s">
        <v>592</v>
      </c>
      <c r="E397" s="22" t="s">
        <v>601</v>
      </c>
      <c r="F397" s="22" t="s">
        <v>175</v>
      </c>
      <c r="G397" s="31">
        <f>G398</f>
        <v>10000</v>
      </c>
      <c r="H397" s="31">
        <f>H398</f>
        <v>8334.7099999999991</v>
      </c>
      <c r="I397" s="31">
        <f t="shared" si="40"/>
        <v>83.347099999999998</v>
      </c>
    </row>
    <row r="398" spans="1:9" s="39" customFormat="1" ht="15" customHeight="1" x14ac:dyDescent="0.2">
      <c r="A398" s="68" t="s">
        <v>176</v>
      </c>
      <c r="B398" s="22" t="s">
        <v>245</v>
      </c>
      <c r="C398" s="22" t="s">
        <v>167</v>
      </c>
      <c r="D398" s="22" t="s">
        <v>592</v>
      </c>
      <c r="E398" s="22" t="s">
        <v>601</v>
      </c>
      <c r="F398" s="22" t="s">
        <v>177</v>
      </c>
      <c r="G398" s="31">
        <v>10000</v>
      </c>
      <c r="H398" s="31">
        <v>8334.7099999999991</v>
      </c>
      <c r="I398" s="31">
        <f t="shared" si="40"/>
        <v>83.347099999999998</v>
      </c>
    </row>
    <row r="399" spans="1:9" s="39" customFormat="1" ht="36" x14ac:dyDescent="0.2">
      <c r="A399" s="64" t="s">
        <v>630</v>
      </c>
      <c r="B399" s="16" t="s">
        <v>245</v>
      </c>
      <c r="C399" s="16" t="s">
        <v>389</v>
      </c>
      <c r="D399" s="16" t="s">
        <v>592</v>
      </c>
      <c r="E399" s="16" t="s">
        <v>15</v>
      </c>
      <c r="F399" s="16"/>
      <c r="G399" s="32">
        <f>G400</f>
        <v>400000</v>
      </c>
      <c r="H399" s="32">
        <f>H400</f>
        <v>400000</v>
      </c>
      <c r="I399" s="32">
        <f t="shared" si="40"/>
        <v>100</v>
      </c>
    </row>
    <row r="400" spans="1:9" s="39" customFormat="1" x14ac:dyDescent="0.2">
      <c r="A400" s="68" t="s">
        <v>378</v>
      </c>
      <c r="B400" s="22" t="s">
        <v>245</v>
      </c>
      <c r="C400" s="22" t="s">
        <v>167</v>
      </c>
      <c r="D400" s="22" t="s">
        <v>592</v>
      </c>
      <c r="E400" s="22" t="s">
        <v>15</v>
      </c>
      <c r="F400" s="22" t="s">
        <v>175</v>
      </c>
      <c r="G400" s="31">
        <f>G401</f>
        <v>400000</v>
      </c>
      <c r="H400" s="31">
        <f>H401</f>
        <v>400000</v>
      </c>
      <c r="I400" s="31">
        <f t="shared" ref="I400:I431" si="42">H400/G400*100</f>
        <v>100</v>
      </c>
    </row>
    <row r="401" spans="1:9" s="39" customFormat="1" ht="15" customHeight="1" x14ac:dyDescent="0.2">
      <c r="A401" s="68" t="s">
        <v>176</v>
      </c>
      <c r="B401" s="22" t="s">
        <v>245</v>
      </c>
      <c r="C401" s="22" t="s">
        <v>167</v>
      </c>
      <c r="D401" s="22" t="s">
        <v>592</v>
      </c>
      <c r="E401" s="22" t="s">
        <v>15</v>
      </c>
      <c r="F401" s="22" t="s">
        <v>177</v>
      </c>
      <c r="G401" s="31">
        <f>400000</f>
        <v>400000</v>
      </c>
      <c r="H401" s="31">
        <v>400000</v>
      </c>
      <c r="I401" s="31">
        <f t="shared" si="42"/>
        <v>100</v>
      </c>
    </row>
    <row r="402" spans="1:9" s="39" customFormat="1" ht="24" x14ac:dyDescent="0.2">
      <c r="A402" s="64" t="s">
        <v>17</v>
      </c>
      <c r="B402" s="16" t="s">
        <v>245</v>
      </c>
      <c r="C402" s="16" t="s">
        <v>389</v>
      </c>
      <c r="D402" s="16" t="s">
        <v>592</v>
      </c>
      <c r="E402" s="16" t="s">
        <v>18</v>
      </c>
      <c r="F402" s="16"/>
      <c r="G402" s="32">
        <f>G403</f>
        <v>115635</v>
      </c>
      <c r="H402" s="32">
        <f>H403</f>
        <v>70013.498000000007</v>
      </c>
      <c r="I402" s="32">
        <f t="shared" si="42"/>
        <v>60.546977991092668</v>
      </c>
    </row>
    <row r="403" spans="1:9" s="39" customFormat="1" x14ac:dyDescent="0.2">
      <c r="A403" s="68" t="s">
        <v>378</v>
      </c>
      <c r="B403" s="22" t="s">
        <v>245</v>
      </c>
      <c r="C403" s="22" t="s">
        <v>167</v>
      </c>
      <c r="D403" s="22" t="s">
        <v>592</v>
      </c>
      <c r="E403" s="22" t="s">
        <v>18</v>
      </c>
      <c r="F403" s="22" t="s">
        <v>175</v>
      </c>
      <c r="G403" s="31">
        <f>G404</f>
        <v>115635</v>
      </c>
      <c r="H403" s="31">
        <f>H404</f>
        <v>70013.498000000007</v>
      </c>
      <c r="I403" s="31">
        <f t="shared" si="42"/>
        <v>60.546977991092668</v>
      </c>
    </row>
    <row r="404" spans="1:9" s="39" customFormat="1" ht="15" customHeight="1" x14ac:dyDescent="0.2">
      <c r="A404" s="68" t="s">
        <v>176</v>
      </c>
      <c r="B404" s="22" t="s">
        <v>245</v>
      </c>
      <c r="C404" s="22" t="s">
        <v>167</v>
      </c>
      <c r="D404" s="22" t="s">
        <v>592</v>
      </c>
      <c r="E404" s="22" t="s">
        <v>18</v>
      </c>
      <c r="F404" s="22" t="s">
        <v>177</v>
      </c>
      <c r="G404" s="31">
        <v>115635</v>
      </c>
      <c r="H404" s="31">
        <v>70013.498000000007</v>
      </c>
      <c r="I404" s="31">
        <f t="shared" si="42"/>
        <v>60.546977991092668</v>
      </c>
    </row>
    <row r="405" spans="1:9" s="39" customFormat="1" ht="38.25" customHeight="1" x14ac:dyDescent="0.2">
      <c r="A405" s="50" t="s">
        <v>19</v>
      </c>
      <c r="B405" s="16" t="s">
        <v>245</v>
      </c>
      <c r="C405" s="16" t="s">
        <v>167</v>
      </c>
      <c r="D405" s="16" t="s">
        <v>592</v>
      </c>
      <c r="E405" s="16" t="s">
        <v>20</v>
      </c>
      <c r="F405" s="16"/>
      <c r="G405" s="95">
        <f>G406</f>
        <v>3072.3</v>
      </c>
      <c r="H405" s="95">
        <f>H406</f>
        <v>2981.6909999999998</v>
      </c>
      <c r="I405" s="32">
        <f t="shared" si="42"/>
        <v>97.050776291377787</v>
      </c>
    </row>
    <row r="406" spans="1:9" s="39" customFormat="1" x14ac:dyDescent="0.2">
      <c r="A406" s="68" t="s">
        <v>378</v>
      </c>
      <c r="B406" s="22" t="s">
        <v>245</v>
      </c>
      <c r="C406" s="22" t="s">
        <v>167</v>
      </c>
      <c r="D406" s="22" t="s">
        <v>592</v>
      </c>
      <c r="E406" s="22" t="s">
        <v>20</v>
      </c>
      <c r="F406" s="22" t="s">
        <v>175</v>
      </c>
      <c r="G406" s="96">
        <f>G407</f>
        <v>3072.3</v>
      </c>
      <c r="H406" s="96">
        <f>H407</f>
        <v>2981.6909999999998</v>
      </c>
      <c r="I406" s="31">
        <f t="shared" si="42"/>
        <v>97.050776291377787</v>
      </c>
    </row>
    <row r="407" spans="1:9" s="39" customFormat="1" ht="15" customHeight="1" x14ac:dyDescent="0.2">
      <c r="A407" s="68" t="s">
        <v>176</v>
      </c>
      <c r="B407" s="22" t="s">
        <v>245</v>
      </c>
      <c r="C407" s="22" t="s">
        <v>167</v>
      </c>
      <c r="D407" s="22" t="s">
        <v>592</v>
      </c>
      <c r="E407" s="22" t="s">
        <v>20</v>
      </c>
      <c r="F407" s="22" t="s">
        <v>177</v>
      </c>
      <c r="G407" s="96">
        <f>3072.3</f>
        <v>3072.3</v>
      </c>
      <c r="H407" s="96">
        <v>2981.6909999999998</v>
      </c>
      <c r="I407" s="31">
        <f t="shared" si="42"/>
        <v>97.050776291377787</v>
      </c>
    </row>
    <row r="408" spans="1:9" s="39" customFormat="1" ht="14.25" customHeight="1" x14ac:dyDescent="0.2">
      <c r="A408" s="64" t="s">
        <v>568</v>
      </c>
      <c r="B408" s="16" t="s">
        <v>245</v>
      </c>
      <c r="C408" s="16" t="s">
        <v>167</v>
      </c>
      <c r="D408" s="16" t="s">
        <v>592</v>
      </c>
      <c r="E408" s="16" t="s">
        <v>417</v>
      </c>
      <c r="F408" s="16"/>
      <c r="G408" s="32">
        <f>G409+G417</f>
        <v>18658.3</v>
      </c>
      <c r="H408" s="32">
        <f>H409+H417</f>
        <v>17865.72867</v>
      </c>
      <c r="I408" s="32">
        <f t="shared" si="42"/>
        <v>95.752178226312154</v>
      </c>
    </row>
    <row r="409" spans="1:9" s="39" customFormat="1" x14ac:dyDescent="0.2">
      <c r="A409" s="88" t="s">
        <v>425</v>
      </c>
      <c r="B409" s="25" t="s">
        <v>245</v>
      </c>
      <c r="C409" s="25" t="s">
        <v>167</v>
      </c>
      <c r="D409" s="25" t="s">
        <v>592</v>
      </c>
      <c r="E409" s="45" t="s">
        <v>38</v>
      </c>
      <c r="F409" s="25"/>
      <c r="G409" s="85">
        <f>G410</f>
        <v>3922.3</v>
      </c>
      <c r="H409" s="85">
        <f>H410</f>
        <v>3699.2436700000003</v>
      </c>
      <c r="I409" s="85">
        <f t="shared" si="42"/>
        <v>94.313124187339056</v>
      </c>
    </row>
    <row r="410" spans="1:9" s="39" customFormat="1" x14ac:dyDescent="0.2">
      <c r="A410" s="64" t="s">
        <v>593</v>
      </c>
      <c r="B410" s="16" t="s">
        <v>245</v>
      </c>
      <c r="C410" s="16" t="s">
        <v>167</v>
      </c>
      <c r="D410" s="16" t="s">
        <v>592</v>
      </c>
      <c r="E410" s="16" t="s">
        <v>38</v>
      </c>
      <c r="F410" s="16"/>
      <c r="G410" s="32">
        <f>G411+G413+G415</f>
        <v>3922.3</v>
      </c>
      <c r="H410" s="32">
        <f>H411+H413+H415</f>
        <v>3699.2436700000003</v>
      </c>
      <c r="I410" s="32">
        <f t="shared" si="42"/>
        <v>94.313124187339056</v>
      </c>
    </row>
    <row r="411" spans="1:9" s="39" customFormat="1" ht="36" x14ac:dyDescent="0.2">
      <c r="A411" s="68" t="s">
        <v>168</v>
      </c>
      <c r="B411" s="22" t="s">
        <v>245</v>
      </c>
      <c r="C411" s="22" t="s">
        <v>167</v>
      </c>
      <c r="D411" s="22" t="s">
        <v>592</v>
      </c>
      <c r="E411" s="22" t="s">
        <v>38</v>
      </c>
      <c r="F411" s="22" t="s">
        <v>169</v>
      </c>
      <c r="G411" s="31">
        <f>G412</f>
        <v>3468.3</v>
      </c>
      <c r="H411" s="31">
        <f>H412</f>
        <v>3415.9236700000001</v>
      </c>
      <c r="I411" s="31">
        <f t="shared" si="42"/>
        <v>98.489855837153655</v>
      </c>
    </row>
    <row r="412" spans="1:9" s="39" customFormat="1" x14ac:dyDescent="0.2">
      <c r="A412" s="68" t="s">
        <v>594</v>
      </c>
      <c r="B412" s="22" t="s">
        <v>245</v>
      </c>
      <c r="C412" s="22" t="s">
        <v>167</v>
      </c>
      <c r="D412" s="22" t="s">
        <v>592</v>
      </c>
      <c r="E412" s="22" t="s">
        <v>38</v>
      </c>
      <c r="F412" s="22" t="s">
        <v>595</v>
      </c>
      <c r="G412" s="31">
        <f>2863.5+864.8-260</f>
        <v>3468.3</v>
      </c>
      <c r="H412" s="31">
        <v>3415.9236700000001</v>
      </c>
      <c r="I412" s="31">
        <f t="shared" si="42"/>
        <v>98.489855837153655</v>
      </c>
    </row>
    <row r="413" spans="1:9" s="39" customFormat="1" x14ac:dyDescent="0.2">
      <c r="A413" s="68" t="s">
        <v>378</v>
      </c>
      <c r="B413" s="22" t="s">
        <v>245</v>
      </c>
      <c r="C413" s="22" t="s">
        <v>167</v>
      </c>
      <c r="D413" s="22" t="s">
        <v>592</v>
      </c>
      <c r="E413" s="22" t="s">
        <v>38</v>
      </c>
      <c r="F413" s="22" t="s">
        <v>175</v>
      </c>
      <c r="G413" s="31">
        <f>G414</f>
        <v>410.72550999999999</v>
      </c>
      <c r="H413" s="31">
        <f>H414</f>
        <v>244.27099999999999</v>
      </c>
      <c r="I413" s="31">
        <f t="shared" si="42"/>
        <v>59.473052939906268</v>
      </c>
    </row>
    <row r="414" spans="1:9" s="39" customFormat="1" ht="15" customHeight="1" x14ac:dyDescent="0.2">
      <c r="A414" s="68" t="s">
        <v>176</v>
      </c>
      <c r="B414" s="22" t="s">
        <v>245</v>
      </c>
      <c r="C414" s="22" t="s">
        <v>167</v>
      </c>
      <c r="D414" s="22" t="s">
        <v>592</v>
      </c>
      <c r="E414" s="22" t="s">
        <v>38</v>
      </c>
      <c r="F414" s="22" t="s">
        <v>177</v>
      </c>
      <c r="G414" s="31">
        <f>419-0.07549-8.199</f>
        <v>410.72550999999999</v>
      </c>
      <c r="H414" s="31">
        <v>244.27099999999999</v>
      </c>
      <c r="I414" s="31">
        <f t="shared" si="42"/>
        <v>59.473052939906268</v>
      </c>
    </row>
    <row r="415" spans="1:9" s="39" customFormat="1" x14ac:dyDescent="0.2">
      <c r="A415" s="68" t="s">
        <v>178</v>
      </c>
      <c r="B415" s="22" t="s">
        <v>245</v>
      </c>
      <c r="C415" s="22" t="s">
        <v>167</v>
      </c>
      <c r="D415" s="22" t="s">
        <v>592</v>
      </c>
      <c r="E415" s="22" t="s">
        <v>38</v>
      </c>
      <c r="F415" s="22" t="s">
        <v>179</v>
      </c>
      <c r="G415" s="31">
        <f>G416</f>
        <v>43.27449</v>
      </c>
      <c r="H415" s="31">
        <f>H416</f>
        <v>39.048999999999999</v>
      </c>
      <c r="I415" s="31">
        <f t="shared" si="42"/>
        <v>90.235609940174911</v>
      </c>
    </row>
    <row r="416" spans="1:9" s="39" customFormat="1" x14ac:dyDescent="0.2">
      <c r="A416" s="68" t="s">
        <v>233</v>
      </c>
      <c r="B416" s="22" t="s">
        <v>245</v>
      </c>
      <c r="C416" s="22" t="s">
        <v>167</v>
      </c>
      <c r="D416" s="22" t="s">
        <v>592</v>
      </c>
      <c r="E416" s="22" t="s">
        <v>38</v>
      </c>
      <c r="F416" s="22" t="s">
        <v>180</v>
      </c>
      <c r="G416" s="31">
        <f>35+0.07549+8.199</f>
        <v>43.27449</v>
      </c>
      <c r="H416" s="31">
        <v>39.048999999999999</v>
      </c>
      <c r="I416" s="31">
        <f t="shared" si="42"/>
        <v>90.235609940174911</v>
      </c>
    </row>
    <row r="417" spans="1:9" s="39" customFormat="1" x14ac:dyDescent="0.2">
      <c r="A417" s="101" t="s">
        <v>426</v>
      </c>
      <c r="B417" s="17" t="s">
        <v>245</v>
      </c>
      <c r="C417" s="17" t="s">
        <v>167</v>
      </c>
      <c r="D417" s="17" t="s">
        <v>592</v>
      </c>
      <c r="E417" s="44" t="s">
        <v>39</v>
      </c>
      <c r="F417" s="17"/>
      <c r="G417" s="35">
        <f>G418</f>
        <v>14736</v>
      </c>
      <c r="H417" s="35">
        <f>H418</f>
        <v>14166.485000000001</v>
      </c>
      <c r="I417" s="35">
        <f t="shared" si="42"/>
        <v>96.135213083604782</v>
      </c>
    </row>
    <row r="418" spans="1:9" s="39" customFormat="1" ht="24" x14ac:dyDescent="0.2">
      <c r="A418" s="68" t="s">
        <v>191</v>
      </c>
      <c r="B418" s="22" t="s">
        <v>245</v>
      </c>
      <c r="C418" s="22" t="s">
        <v>167</v>
      </c>
      <c r="D418" s="22" t="s">
        <v>592</v>
      </c>
      <c r="E418" s="22" t="s">
        <v>39</v>
      </c>
      <c r="F418" s="22" t="s">
        <v>522</v>
      </c>
      <c r="G418" s="31">
        <f>G419</f>
        <v>14736</v>
      </c>
      <c r="H418" s="31">
        <f>H419</f>
        <v>14166.485000000001</v>
      </c>
      <c r="I418" s="31">
        <f t="shared" si="42"/>
        <v>96.135213083604782</v>
      </c>
    </row>
    <row r="419" spans="1:9" s="39" customFormat="1" x14ac:dyDescent="0.2">
      <c r="A419" s="68" t="s">
        <v>192</v>
      </c>
      <c r="B419" s="22" t="s">
        <v>245</v>
      </c>
      <c r="C419" s="22" t="s">
        <v>167</v>
      </c>
      <c r="D419" s="22" t="s">
        <v>592</v>
      </c>
      <c r="E419" s="22" t="s">
        <v>39</v>
      </c>
      <c r="F419" s="22" t="s">
        <v>536</v>
      </c>
      <c r="G419" s="31">
        <f>12456+2280</f>
        <v>14736</v>
      </c>
      <c r="H419" s="31">
        <v>14166.485000000001</v>
      </c>
      <c r="I419" s="31">
        <f t="shared" si="42"/>
        <v>96.135213083604782</v>
      </c>
    </row>
    <row r="420" spans="1:9" ht="31.5" x14ac:dyDescent="0.2">
      <c r="A420" s="63" t="s">
        <v>527</v>
      </c>
      <c r="B420" s="36">
        <v>603</v>
      </c>
      <c r="C420" s="37"/>
      <c r="D420" s="37"/>
      <c r="E420" s="37"/>
      <c r="F420" s="37"/>
      <c r="G420" s="86">
        <f>G421+G441</f>
        <v>213254.27941000002</v>
      </c>
      <c r="H420" s="86">
        <f>H421+H441</f>
        <v>208871.75199999998</v>
      </c>
      <c r="I420" s="86">
        <f t="shared" si="42"/>
        <v>97.9449287385346</v>
      </c>
    </row>
    <row r="421" spans="1:9" s="38" customFormat="1" x14ac:dyDescent="0.2">
      <c r="A421" s="64" t="s">
        <v>493</v>
      </c>
      <c r="B421" s="16">
        <v>603</v>
      </c>
      <c r="C421" s="16" t="s">
        <v>598</v>
      </c>
      <c r="D421" s="16" t="s">
        <v>166</v>
      </c>
      <c r="E421" s="16"/>
      <c r="F421" s="16"/>
      <c r="G421" s="32">
        <f>G422+G429</f>
        <v>86798.96</v>
      </c>
      <c r="H421" s="32">
        <f>H422+H429</f>
        <v>85130.035999999993</v>
      </c>
      <c r="I421" s="32">
        <f t="shared" si="42"/>
        <v>98.077253460179691</v>
      </c>
    </row>
    <row r="422" spans="1:9" s="38" customFormat="1" x14ac:dyDescent="0.2">
      <c r="A422" s="64" t="s">
        <v>358</v>
      </c>
      <c r="B422" s="16">
        <v>603</v>
      </c>
      <c r="C422" s="16" t="s">
        <v>598</v>
      </c>
      <c r="D422" s="16" t="s">
        <v>591</v>
      </c>
      <c r="E422" s="16"/>
      <c r="F422" s="16"/>
      <c r="G422" s="32">
        <f t="shared" ref="G422:H427" si="43">G423</f>
        <v>84483.400000000009</v>
      </c>
      <c r="H422" s="32">
        <f t="shared" si="43"/>
        <v>83314.475999999995</v>
      </c>
      <c r="I422" s="32">
        <f t="shared" si="42"/>
        <v>98.616386177639612</v>
      </c>
    </row>
    <row r="423" spans="1:9" s="38" customFormat="1" ht="27" x14ac:dyDescent="0.2">
      <c r="A423" s="70" t="s">
        <v>438</v>
      </c>
      <c r="B423" s="43" t="s">
        <v>523</v>
      </c>
      <c r="C423" s="43" t="s">
        <v>598</v>
      </c>
      <c r="D423" s="43" t="s">
        <v>591</v>
      </c>
      <c r="E423" s="43" t="s">
        <v>337</v>
      </c>
      <c r="F423" s="43"/>
      <c r="G423" s="47">
        <f t="shared" si="43"/>
        <v>84483.400000000009</v>
      </c>
      <c r="H423" s="47">
        <f t="shared" si="43"/>
        <v>83314.475999999995</v>
      </c>
      <c r="I423" s="47">
        <f t="shared" si="42"/>
        <v>98.616386177639612</v>
      </c>
    </row>
    <row r="424" spans="1:9" s="38" customFormat="1" ht="24" x14ac:dyDescent="0.2">
      <c r="A424" s="64" t="s">
        <v>471</v>
      </c>
      <c r="B424" s="16" t="s">
        <v>523</v>
      </c>
      <c r="C424" s="16" t="s">
        <v>598</v>
      </c>
      <c r="D424" s="16" t="s">
        <v>591</v>
      </c>
      <c r="E424" s="16" t="s">
        <v>338</v>
      </c>
      <c r="F424" s="16"/>
      <c r="G424" s="32">
        <f t="shared" si="43"/>
        <v>84483.400000000009</v>
      </c>
      <c r="H424" s="32">
        <f t="shared" si="43"/>
        <v>83314.475999999995</v>
      </c>
      <c r="I424" s="32">
        <f t="shared" si="42"/>
        <v>98.616386177639612</v>
      </c>
    </row>
    <row r="425" spans="1:9" s="38" customFormat="1" ht="24" x14ac:dyDescent="0.2">
      <c r="A425" s="64" t="s">
        <v>472</v>
      </c>
      <c r="B425" s="16" t="s">
        <v>523</v>
      </c>
      <c r="C425" s="16" t="s">
        <v>598</v>
      </c>
      <c r="D425" s="16" t="s">
        <v>591</v>
      </c>
      <c r="E425" s="16" t="s">
        <v>72</v>
      </c>
      <c r="F425" s="16"/>
      <c r="G425" s="32">
        <f t="shared" si="43"/>
        <v>84483.400000000009</v>
      </c>
      <c r="H425" s="32">
        <f t="shared" si="43"/>
        <v>83314.475999999995</v>
      </c>
      <c r="I425" s="32">
        <f t="shared" si="42"/>
        <v>98.616386177639612</v>
      </c>
    </row>
    <row r="426" spans="1:9" s="38" customFormat="1" ht="24" x14ac:dyDescent="0.2">
      <c r="A426" s="69" t="s">
        <v>392</v>
      </c>
      <c r="B426" s="25" t="s">
        <v>523</v>
      </c>
      <c r="C426" s="25" t="s">
        <v>598</v>
      </c>
      <c r="D426" s="25" t="s">
        <v>591</v>
      </c>
      <c r="E426" s="25" t="s">
        <v>72</v>
      </c>
      <c r="F426" s="17"/>
      <c r="G426" s="85">
        <f t="shared" si="43"/>
        <v>84483.400000000009</v>
      </c>
      <c r="H426" s="85">
        <f t="shared" si="43"/>
        <v>83314.475999999995</v>
      </c>
      <c r="I426" s="85">
        <f t="shared" si="42"/>
        <v>98.616386177639612</v>
      </c>
    </row>
    <row r="427" spans="1:9" s="38" customFormat="1" ht="24" x14ac:dyDescent="0.2">
      <c r="A427" s="68" t="s">
        <v>191</v>
      </c>
      <c r="B427" s="22" t="s">
        <v>523</v>
      </c>
      <c r="C427" s="22" t="s">
        <v>598</v>
      </c>
      <c r="D427" s="22" t="s">
        <v>591</v>
      </c>
      <c r="E427" s="22" t="s">
        <v>72</v>
      </c>
      <c r="F427" s="22" t="s">
        <v>522</v>
      </c>
      <c r="G427" s="31">
        <f t="shared" si="43"/>
        <v>84483.400000000009</v>
      </c>
      <c r="H427" s="31">
        <f t="shared" si="43"/>
        <v>83314.475999999995</v>
      </c>
      <c r="I427" s="31">
        <f t="shared" si="42"/>
        <v>98.616386177639612</v>
      </c>
    </row>
    <row r="428" spans="1:9" s="38" customFormat="1" x14ac:dyDescent="0.2">
      <c r="A428" s="68" t="s">
        <v>192</v>
      </c>
      <c r="B428" s="22" t="s">
        <v>523</v>
      </c>
      <c r="C428" s="22" t="s">
        <v>598</v>
      </c>
      <c r="D428" s="22" t="s">
        <v>591</v>
      </c>
      <c r="E428" s="22" t="s">
        <v>72</v>
      </c>
      <c r="F428" s="22" t="s">
        <v>536</v>
      </c>
      <c r="G428" s="31">
        <f>91873.4-4000-417.9-333-1462.2-1176.9</f>
        <v>84483.400000000009</v>
      </c>
      <c r="H428" s="31">
        <v>83314.475999999995</v>
      </c>
      <c r="I428" s="31">
        <f t="shared" si="42"/>
        <v>98.616386177639612</v>
      </c>
    </row>
    <row r="429" spans="1:9" s="38" customFormat="1" x14ac:dyDescent="0.2">
      <c r="A429" s="64" t="s">
        <v>496</v>
      </c>
      <c r="B429" s="16" t="s">
        <v>523</v>
      </c>
      <c r="C429" s="16" t="s">
        <v>598</v>
      </c>
      <c r="D429" s="16" t="s">
        <v>598</v>
      </c>
      <c r="E429" s="16"/>
      <c r="F429" s="16"/>
      <c r="G429" s="32">
        <f>G430</f>
        <v>2315.56</v>
      </c>
      <c r="H429" s="32">
        <f>H430</f>
        <v>1815.56</v>
      </c>
      <c r="I429" s="32">
        <f t="shared" si="42"/>
        <v>78.406951234258671</v>
      </c>
    </row>
    <row r="430" spans="1:9" s="38" customFormat="1" ht="27" x14ac:dyDescent="0.2">
      <c r="A430" s="70" t="s">
        <v>438</v>
      </c>
      <c r="B430" s="43" t="s">
        <v>523</v>
      </c>
      <c r="C430" s="43" t="s">
        <v>598</v>
      </c>
      <c r="D430" s="43" t="s">
        <v>598</v>
      </c>
      <c r="E430" s="43" t="s">
        <v>337</v>
      </c>
      <c r="F430" s="43"/>
      <c r="G430" s="47">
        <f>G431</f>
        <v>2315.56</v>
      </c>
      <c r="H430" s="47">
        <f>H431</f>
        <v>1815.56</v>
      </c>
      <c r="I430" s="35">
        <f t="shared" si="42"/>
        <v>78.406951234258671</v>
      </c>
    </row>
    <row r="431" spans="1:9" s="38" customFormat="1" ht="13.5" customHeight="1" x14ac:dyDescent="0.2">
      <c r="A431" s="70" t="s">
        <v>470</v>
      </c>
      <c r="B431" s="43">
        <v>603</v>
      </c>
      <c r="C431" s="43" t="s">
        <v>598</v>
      </c>
      <c r="D431" s="43" t="s">
        <v>598</v>
      </c>
      <c r="E431" s="43" t="s">
        <v>342</v>
      </c>
      <c r="F431" s="43"/>
      <c r="G431" s="47">
        <f>G432+G435+G438</f>
        <v>2315.56</v>
      </c>
      <c r="H431" s="47">
        <f>H432+H435+H438</f>
        <v>1815.56</v>
      </c>
      <c r="I431" s="35">
        <f t="shared" si="42"/>
        <v>78.406951234258671</v>
      </c>
    </row>
    <row r="432" spans="1:9" s="38" customFormat="1" x14ac:dyDescent="0.2">
      <c r="A432" s="61" t="s">
        <v>343</v>
      </c>
      <c r="B432" s="16">
        <v>603</v>
      </c>
      <c r="C432" s="16" t="s">
        <v>598</v>
      </c>
      <c r="D432" s="16" t="s">
        <v>598</v>
      </c>
      <c r="E432" s="16" t="s">
        <v>73</v>
      </c>
      <c r="F432" s="16"/>
      <c r="G432" s="32">
        <f>G433</f>
        <v>1740.56</v>
      </c>
      <c r="H432" s="32">
        <f>H433</f>
        <v>1740.56</v>
      </c>
      <c r="I432" s="32">
        <f t="shared" ref="I432:I463" si="44">H432/G432*100</f>
        <v>100</v>
      </c>
    </row>
    <row r="433" spans="1:9" s="38" customFormat="1" x14ac:dyDescent="0.2">
      <c r="A433" s="68" t="s">
        <v>378</v>
      </c>
      <c r="B433" s="22" t="s">
        <v>523</v>
      </c>
      <c r="C433" s="22" t="s">
        <v>598</v>
      </c>
      <c r="D433" s="22" t="s">
        <v>598</v>
      </c>
      <c r="E433" s="22" t="s">
        <v>73</v>
      </c>
      <c r="F433" s="22" t="s">
        <v>175</v>
      </c>
      <c r="G433" s="31">
        <f>G434</f>
        <v>1740.56</v>
      </c>
      <c r="H433" s="31">
        <f>H434</f>
        <v>1740.56</v>
      </c>
      <c r="I433" s="31">
        <f t="shared" si="44"/>
        <v>100</v>
      </c>
    </row>
    <row r="434" spans="1:9" s="38" customFormat="1" x14ac:dyDescent="0.2">
      <c r="A434" s="68" t="s">
        <v>176</v>
      </c>
      <c r="B434" s="22" t="s">
        <v>523</v>
      </c>
      <c r="C434" s="22" t="s">
        <v>598</v>
      </c>
      <c r="D434" s="22" t="s">
        <v>598</v>
      </c>
      <c r="E434" s="22" t="s">
        <v>73</v>
      </c>
      <c r="F434" s="22" t="s">
        <v>177</v>
      </c>
      <c r="G434" s="31">
        <f>1850-109.19-0.25</f>
        <v>1740.56</v>
      </c>
      <c r="H434" s="31">
        <v>1740.56</v>
      </c>
      <c r="I434" s="31">
        <f t="shared" si="44"/>
        <v>100</v>
      </c>
    </row>
    <row r="435" spans="1:9" s="38" customFormat="1" x14ac:dyDescent="0.2">
      <c r="A435" s="61" t="s">
        <v>344</v>
      </c>
      <c r="B435" s="16">
        <v>603</v>
      </c>
      <c r="C435" s="16" t="s">
        <v>598</v>
      </c>
      <c r="D435" s="16" t="s">
        <v>598</v>
      </c>
      <c r="E435" s="16" t="s">
        <v>74</v>
      </c>
      <c r="F435" s="16"/>
      <c r="G435" s="32">
        <f>G436</f>
        <v>75</v>
      </c>
      <c r="H435" s="32">
        <f>H436</f>
        <v>75</v>
      </c>
      <c r="I435" s="32">
        <f t="shared" si="44"/>
        <v>100</v>
      </c>
    </row>
    <row r="436" spans="1:9" s="38" customFormat="1" x14ac:dyDescent="0.2">
      <c r="A436" s="68" t="s">
        <v>378</v>
      </c>
      <c r="B436" s="22" t="s">
        <v>523</v>
      </c>
      <c r="C436" s="22" t="s">
        <v>598</v>
      </c>
      <c r="D436" s="22" t="s">
        <v>598</v>
      </c>
      <c r="E436" s="22" t="s">
        <v>74</v>
      </c>
      <c r="F436" s="22" t="s">
        <v>175</v>
      </c>
      <c r="G436" s="31">
        <f>G437</f>
        <v>75</v>
      </c>
      <c r="H436" s="31">
        <f>H437</f>
        <v>75</v>
      </c>
      <c r="I436" s="31">
        <f t="shared" si="44"/>
        <v>100</v>
      </c>
    </row>
    <row r="437" spans="1:9" s="38" customFormat="1" x14ac:dyDescent="0.2">
      <c r="A437" s="68" t="s">
        <v>176</v>
      </c>
      <c r="B437" s="22" t="s">
        <v>523</v>
      </c>
      <c r="C437" s="22" t="s">
        <v>598</v>
      </c>
      <c r="D437" s="22" t="s">
        <v>598</v>
      </c>
      <c r="E437" s="22" t="s">
        <v>74</v>
      </c>
      <c r="F437" s="22" t="s">
        <v>177</v>
      </c>
      <c r="G437" s="31">
        <f>150-75</f>
        <v>75</v>
      </c>
      <c r="H437" s="31">
        <v>75</v>
      </c>
      <c r="I437" s="31">
        <f t="shared" si="44"/>
        <v>100</v>
      </c>
    </row>
    <row r="438" spans="1:9" s="38" customFormat="1" ht="24" x14ac:dyDescent="0.2">
      <c r="A438" s="64" t="s">
        <v>154</v>
      </c>
      <c r="B438" s="16" t="s">
        <v>523</v>
      </c>
      <c r="C438" s="16" t="s">
        <v>598</v>
      </c>
      <c r="D438" s="16" t="s">
        <v>598</v>
      </c>
      <c r="E438" s="16" t="s">
        <v>75</v>
      </c>
      <c r="F438" s="16"/>
      <c r="G438" s="32">
        <f>G439</f>
        <v>500</v>
      </c>
      <c r="H438" s="135">
        <f>H439</f>
        <v>0</v>
      </c>
      <c r="I438" s="135">
        <f t="shared" si="44"/>
        <v>0</v>
      </c>
    </row>
    <row r="439" spans="1:9" s="38" customFormat="1" ht="24" x14ac:dyDescent="0.2">
      <c r="A439" s="68" t="s">
        <v>191</v>
      </c>
      <c r="B439" s="22" t="s">
        <v>523</v>
      </c>
      <c r="C439" s="22" t="s">
        <v>598</v>
      </c>
      <c r="D439" s="22" t="s">
        <v>598</v>
      </c>
      <c r="E439" s="22" t="s">
        <v>75</v>
      </c>
      <c r="F439" s="22" t="s">
        <v>522</v>
      </c>
      <c r="G439" s="31">
        <f>G440</f>
        <v>500</v>
      </c>
      <c r="H439" s="133">
        <f>H440</f>
        <v>0</v>
      </c>
      <c r="I439" s="133">
        <f t="shared" si="44"/>
        <v>0</v>
      </c>
    </row>
    <row r="440" spans="1:9" s="38" customFormat="1" ht="24" x14ac:dyDescent="0.2">
      <c r="A440" s="116" t="s">
        <v>220</v>
      </c>
      <c r="B440" s="22" t="s">
        <v>523</v>
      </c>
      <c r="C440" s="22" t="s">
        <v>598</v>
      </c>
      <c r="D440" s="22" t="s">
        <v>598</v>
      </c>
      <c r="E440" s="22" t="s">
        <v>75</v>
      </c>
      <c r="F440" s="22" t="s">
        <v>582</v>
      </c>
      <c r="G440" s="31">
        <v>500</v>
      </c>
      <c r="H440" s="133">
        <v>0</v>
      </c>
      <c r="I440" s="133">
        <f t="shared" si="44"/>
        <v>0</v>
      </c>
    </row>
    <row r="441" spans="1:9" s="38" customFormat="1" x14ac:dyDescent="0.2">
      <c r="A441" s="64" t="s">
        <v>509</v>
      </c>
      <c r="B441" s="16">
        <v>603</v>
      </c>
      <c r="C441" s="16" t="s">
        <v>596</v>
      </c>
      <c r="D441" s="16" t="s">
        <v>166</v>
      </c>
      <c r="E441" s="16"/>
      <c r="F441" s="16"/>
      <c r="G441" s="32">
        <f>G442+G462</f>
        <v>126455.31941</v>
      </c>
      <c r="H441" s="32">
        <f>H442+H462</f>
        <v>123741.716</v>
      </c>
      <c r="I441" s="32">
        <f t="shared" si="44"/>
        <v>97.854101019505705</v>
      </c>
    </row>
    <row r="442" spans="1:9" s="38" customFormat="1" x14ac:dyDescent="0.2">
      <c r="A442" s="64" t="s">
        <v>498</v>
      </c>
      <c r="B442" s="16">
        <v>603</v>
      </c>
      <c r="C442" s="16" t="s">
        <v>596</v>
      </c>
      <c r="D442" s="16" t="s">
        <v>165</v>
      </c>
      <c r="E442" s="16"/>
      <c r="F442" s="16"/>
      <c r="G442" s="32">
        <f>G443</f>
        <v>102237.41941</v>
      </c>
      <c r="H442" s="32">
        <f>H443</f>
        <v>100380.359</v>
      </c>
      <c r="I442" s="32">
        <f t="shared" si="44"/>
        <v>98.183580512187348</v>
      </c>
    </row>
    <row r="443" spans="1:9" s="38" customFormat="1" ht="27" x14ac:dyDescent="0.2">
      <c r="A443" s="70" t="s">
        <v>438</v>
      </c>
      <c r="B443" s="43" t="s">
        <v>523</v>
      </c>
      <c r="C443" s="43" t="s">
        <v>596</v>
      </c>
      <c r="D443" s="43" t="s">
        <v>165</v>
      </c>
      <c r="E443" s="43" t="s">
        <v>337</v>
      </c>
      <c r="F443" s="43"/>
      <c r="G443" s="47">
        <f>G444</f>
        <v>102237.41941</v>
      </c>
      <c r="H443" s="47">
        <f>H444</f>
        <v>100380.359</v>
      </c>
      <c r="I443" s="47">
        <f t="shared" si="44"/>
        <v>98.183580512187348</v>
      </c>
    </row>
    <row r="444" spans="1:9" s="38" customFormat="1" ht="24" x14ac:dyDescent="0.2">
      <c r="A444" s="64" t="s">
        <v>471</v>
      </c>
      <c r="B444" s="16" t="s">
        <v>523</v>
      </c>
      <c r="C444" s="16" t="s">
        <v>596</v>
      </c>
      <c r="D444" s="16" t="s">
        <v>165</v>
      </c>
      <c r="E444" s="16" t="s">
        <v>338</v>
      </c>
      <c r="F444" s="16"/>
      <c r="G444" s="32">
        <f>G445+G449+G452+G456+G459</f>
        <v>102237.41941</v>
      </c>
      <c r="H444" s="32">
        <f>H445+H449+H452+H456+H459</f>
        <v>100380.359</v>
      </c>
      <c r="I444" s="32">
        <f t="shared" si="44"/>
        <v>98.183580512187348</v>
      </c>
    </row>
    <row r="445" spans="1:9" s="38" customFormat="1" ht="24" x14ac:dyDescent="0.2">
      <c r="A445" s="64" t="s">
        <v>371</v>
      </c>
      <c r="B445" s="16" t="s">
        <v>523</v>
      </c>
      <c r="C445" s="16" t="s">
        <v>596</v>
      </c>
      <c r="D445" s="16" t="s">
        <v>165</v>
      </c>
      <c r="E445" s="16" t="s">
        <v>345</v>
      </c>
      <c r="F445" s="16"/>
      <c r="G445" s="32">
        <f t="shared" ref="G445:H447" si="45">G446</f>
        <v>32504.621319999998</v>
      </c>
      <c r="H445" s="32">
        <f t="shared" si="45"/>
        <v>31727.488000000001</v>
      </c>
      <c r="I445" s="32">
        <f t="shared" si="44"/>
        <v>97.609160517978935</v>
      </c>
    </row>
    <row r="446" spans="1:9" s="38" customFormat="1" x14ac:dyDescent="0.2">
      <c r="A446" s="69" t="s">
        <v>541</v>
      </c>
      <c r="B446" s="25">
        <v>603</v>
      </c>
      <c r="C446" s="25" t="s">
        <v>596</v>
      </c>
      <c r="D446" s="25" t="s">
        <v>165</v>
      </c>
      <c r="E446" s="25" t="s">
        <v>76</v>
      </c>
      <c r="F446" s="25"/>
      <c r="G446" s="85">
        <f t="shared" si="45"/>
        <v>32504.621319999998</v>
      </c>
      <c r="H446" s="85">
        <f t="shared" si="45"/>
        <v>31727.488000000001</v>
      </c>
      <c r="I446" s="85">
        <f t="shared" si="44"/>
        <v>97.609160517978935</v>
      </c>
    </row>
    <row r="447" spans="1:9" s="38" customFormat="1" ht="24" x14ac:dyDescent="0.2">
      <c r="A447" s="68" t="s">
        <v>191</v>
      </c>
      <c r="B447" s="22">
        <v>603</v>
      </c>
      <c r="C447" s="22" t="s">
        <v>596</v>
      </c>
      <c r="D447" s="22" t="s">
        <v>165</v>
      </c>
      <c r="E447" s="22" t="s">
        <v>76</v>
      </c>
      <c r="F447" s="22" t="s">
        <v>522</v>
      </c>
      <c r="G447" s="31">
        <f t="shared" si="45"/>
        <v>32504.621319999998</v>
      </c>
      <c r="H447" s="31">
        <f t="shared" si="45"/>
        <v>31727.488000000001</v>
      </c>
      <c r="I447" s="31">
        <f t="shared" si="44"/>
        <v>97.609160517978935</v>
      </c>
    </row>
    <row r="448" spans="1:9" s="38" customFormat="1" x14ac:dyDescent="0.2">
      <c r="A448" s="68" t="s">
        <v>192</v>
      </c>
      <c r="B448" s="22">
        <v>603</v>
      </c>
      <c r="C448" s="22" t="s">
        <v>596</v>
      </c>
      <c r="D448" s="22" t="s">
        <v>165</v>
      </c>
      <c r="E448" s="22" t="s">
        <v>76</v>
      </c>
      <c r="F448" s="22" t="s">
        <v>536</v>
      </c>
      <c r="G448" s="31">
        <f>11087.1+18417.52132+1300+100+1600</f>
        <v>32504.621319999998</v>
      </c>
      <c r="H448" s="31">
        <v>31727.488000000001</v>
      </c>
      <c r="I448" s="31">
        <f t="shared" si="44"/>
        <v>97.609160517978935</v>
      </c>
    </row>
    <row r="449" spans="1:9" s="38" customFormat="1" ht="24" x14ac:dyDescent="0.2">
      <c r="A449" s="67" t="s">
        <v>98</v>
      </c>
      <c r="B449" s="17" t="s">
        <v>523</v>
      </c>
      <c r="C449" s="17" t="s">
        <v>596</v>
      </c>
      <c r="D449" s="17" t="s">
        <v>165</v>
      </c>
      <c r="E449" s="17" t="s">
        <v>346</v>
      </c>
      <c r="F449" s="17"/>
      <c r="G449" s="100">
        <f>G450</f>
        <v>38358</v>
      </c>
      <c r="H449" s="100">
        <f>H450</f>
        <v>38358</v>
      </c>
      <c r="I449" s="35">
        <f t="shared" si="44"/>
        <v>100</v>
      </c>
    </row>
    <row r="450" spans="1:9" s="38" customFormat="1" ht="24" x14ac:dyDescent="0.2">
      <c r="A450" s="68" t="s">
        <v>191</v>
      </c>
      <c r="B450" s="22">
        <v>603</v>
      </c>
      <c r="C450" s="22" t="s">
        <v>596</v>
      </c>
      <c r="D450" s="22" t="s">
        <v>165</v>
      </c>
      <c r="E450" s="22" t="s">
        <v>346</v>
      </c>
      <c r="F450" s="22" t="s">
        <v>522</v>
      </c>
      <c r="G450" s="96">
        <f>G451</f>
        <v>38358</v>
      </c>
      <c r="H450" s="96">
        <f>H451</f>
        <v>38358</v>
      </c>
      <c r="I450" s="31">
        <f t="shared" si="44"/>
        <v>100</v>
      </c>
    </row>
    <row r="451" spans="1:9" s="38" customFormat="1" x14ac:dyDescent="0.2">
      <c r="A451" s="68" t="s">
        <v>192</v>
      </c>
      <c r="B451" s="22">
        <v>603</v>
      </c>
      <c r="C451" s="22" t="s">
        <v>596</v>
      </c>
      <c r="D451" s="22" t="s">
        <v>165</v>
      </c>
      <c r="E451" s="22" t="s">
        <v>346</v>
      </c>
      <c r="F451" s="22" t="s">
        <v>536</v>
      </c>
      <c r="G451" s="96">
        <f>36758+1600</f>
        <v>38358</v>
      </c>
      <c r="H451" s="96">
        <v>38358</v>
      </c>
      <c r="I451" s="31">
        <f t="shared" si="44"/>
        <v>100</v>
      </c>
    </row>
    <row r="452" spans="1:9" s="38" customFormat="1" ht="24" x14ac:dyDescent="0.2">
      <c r="A452" s="64" t="s">
        <v>473</v>
      </c>
      <c r="B452" s="16" t="s">
        <v>523</v>
      </c>
      <c r="C452" s="16" t="s">
        <v>596</v>
      </c>
      <c r="D452" s="16" t="s">
        <v>165</v>
      </c>
      <c r="E452" s="16" t="s">
        <v>347</v>
      </c>
      <c r="F452" s="16"/>
      <c r="G452" s="32">
        <f t="shared" ref="G452:H454" si="46">G453</f>
        <v>31287.499999999996</v>
      </c>
      <c r="H452" s="32">
        <f t="shared" si="46"/>
        <v>30207.573</v>
      </c>
      <c r="I452" s="32">
        <f t="shared" si="44"/>
        <v>96.548375549340804</v>
      </c>
    </row>
    <row r="453" spans="1:9" s="38" customFormat="1" ht="24" x14ac:dyDescent="0.2">
      <c r="A453" s="69" t="s">
        <v>77</v>
      </c>
      <c r="B453" s="25" t="s">
        <v>523</v>
      </c>
      <c r="C453" s="25" t="s">
        <v>596</v>
      </c>
      <c r="D453" s="25" t="s">
        <v>165</v>
      </c>
      <c r="E453" s="25" t="s">
        <v>78</v>
      </c>
      <c r="F453" s="17"/>
      <c r="G453" s="85">
        <f t="shared" si="46"/>
        <v>31287.499999999996</v>
      </c>
      <c r="H453" s="85">
        <f t="shared" si="46"/>
        <v>30207.573</v>
      </c>
      <c r="I453" s="85">
        <f t="shared" si="44"/>
        <v>96.548375549340804</v>
      </c>
    </row>
    <row r="454" spans="1:9" s="38" customFormat="1" ht="24" x14ac:dyDescent="0.2">
      <c r="A454" s="68" t="s">
        <v>191</v>
      </c>
      <c r="B454" s="22" t="s">
        <v>523</v>
      </c>
      <c r="C454" s="22" t="s">
        <v>596</v>
      </c>
      <c r="D454" s="22" t="s">
        <v>165</v>
      </c>
      <c r="E454" s="22" t="s">
        <v>78</v>
      </c>
      <c r="F454" s="22" t="s">
        <v>522</v>
      </c>
      <c r="G454" s="31">
        <f t="shared" si="46"/>
        <v>31287.499999999996</v>
      </c>
      <c r="H454" s="31">
        <f t="shared" si="46"/>
        <v>30207.573</v>
      </c>
      <c r="I454" s="31">
        <f t="shared" si="44"/>
        <v>96.548375549340804</v>
      </c>
    </row>
    <row r="455" spans="1:9" s="38" customFormat="1" x14ac:dyDescent="0.2">
      <c r="A455" s="68" t="s">
        <v>192</v>
      </c>
      <c r="B455" s="22" t="s">
        <v>523</v>
      </c>
      <c r="C455" s="22" t="s">
        <v>596</v>
      </c>
      <c r="D455" s="22" t="s">
        <v>165</v>
      </c>
      <c r="E455" s="22" t="s">
        <v>78</v>
      </c>
      <c r="F455" s="22" t="s">
        <v>536</v>
      </c>
      <c r="G455" s="31">
        <f>33920.7-0.5-2632.7</f>
        <v>31287.499999999996</v>
      </c>
      <c r="H455" s="31">
        <v>30207.573</v>
      </c>
      <c r="I455" s="31">
        <f t="shared" si="44"/>
        <v>96.548375549340804</v>
      </c>
    </row>
    <row r="456" spans="1:9" s="38" customFormat="1" x14ac:dyDescent="0.2">
      <c r="A456" s="64" t="s">
        <v>224</v>
      </c>
      <c r="B456" s="16" t="s">
        <v>222</v>
      </c>
      <c r="C456" s="16" t="s">
        <v>596</v>
      </c>
      <c r="D456" s="16" t="s">
        <v>165</v>
      </c>
      <c r="E456" s="16" t="s">
        <v>223</v>
      </c>
      <c r="F456" s="16"/>
      <c r="G456" s="32">
        <f>G457</f>
        <v>86.798090000000002</v>
      </c>
      <c r="H456" s="32">
        <f>H457</f>
        <v>86.798000000000002</v>
      </c>
      <c r="I456" s="32">
        <f t="shared" si="44"/>
        <v>99.999896311082423</v>
      </c>
    </row>
    <row r="457" spans="1:9" s="38" customFormat="1" ht="24" x14ac:dyDescent="0.2">
      <c r="A457" s="68" t="s">
        <v>191</v>
      </c>
      <c r="B457" s="22" t="s">
        <v>222</v>
      </c>
      <c r="C457" s="22" t="s">
        <v>596</v>
      </c>
      <c r="D457" s="22" t="s">
        <v>165</v>
      </c>
      <c r="E457" s="22" t="s">
        <v>223</v>
      </c>
      <c r="F457" s="22" t="s">
        <v>522</v>
      </c>
      <c r="G457" s="31">
        <f>G458</f>
        <v>86.798090000000002</v>
      </c>
      <c r="H457" s="31">
        <f>H458</f>
        <v>86.798000000000002</v>
      </c>
      <c r="I457" s="31">
        <f t="shared" si="44"/>
        <v>99.999896311082423</v>
      </c>
    </row>
    <row r="458" spans="1:9" s="38" customFormat="1" x14ac:dyDescent="0.2">
      <c r="A458" s="68" t="s">
        <v>192</v>
      </c>
      <c r="B458" s="22" t="s">
        <v>222</v>
      </c>
      <c r="C458" s="22" t="s">
        <v>596</v>
      </c>
      <c r="D458" s="22" t="s">
        <v>165</v>
      </c>
      <c r="E458" s="22" t="s">
        <v>223</v>
      </c>
      <c r="F458" s="22" t="s">
        <v>536</v>
      </c>
      <c r="G458" s="31">
        <v>86.798090000000002</v>
      </c>
      <c r="H458" s="31">
        <v>86.798000000000002</v>
      </c>
      <c r="I458" s="31">
        <f t="shared" si="44"/>
        <v>99.999896311082423</v>
      </c>
    </row>
    <row r="459" spans="1:9" s="38" customFormat="1" x14ac:dyDescent="0.2">
      <c r="A459" s="64" t="s">
        <v>624</v>
      </c>
      <c r="B459" s="16" t="s">
        <v>222</v>
      </c>
      <c r="C459" s="16" t="s">
        <v>596</v>
      </c>
      <c r="D459" s="16" t="s">
        <v>165</v>
      </c>
      <c r="E459" s="16" t="s">
        <v>625</v>
      </c>
      <c r="F459" s="16"/>
      <c r="G459" s="32">
        <f>G460</f>
        <v>0.5</v>
      </c>
      <c r="H459" s="32">
        <f>H460</f>
        <v>0.5</v>
      </c>
      <c r="I459" s="32">
        <f t="shared" si="44"/>
        <v>100</v>
      </c>
    </row>
    <row r="460" spans="1:9" s="38" customFormat="1" ht="24" x14ac:dyDescent="0.2">
      <c r="A460" s="68" t="s">
        <v>191</v>
      </c>
      <c r="B460" s="22" t="s">
        <v>222</v>
      </c>
      <c r="C460" s="22" t="s">
        <v>596</v>
      </c>
      <c r="D460" s="22" t="s">
        <v>165</v>
      </c>
      <c r="E460" s="22" t="s">
        <v>625</v>
      </c>
      <c r="F460" s="22" t="s">
        <v>522</v>
      </c>
      <c r="G460" s="31">
        <f>G461</f>
        <v>0.5</v>
      </c>
      <c r="H460" s="31">
        <f>H461</f>
        <v>0.5</v>
      </c>
      <c r="I460" s="31">
        <f t="shared" si="44"/>
        <v>100</v>
      </c>
    </row>
    <row r="461" spans="1:9" s="38" customFormat="1" x14ac:dyDescent="0.2">
      <c r="A461" s="68" t="s">
        <v>192</v>
      </c>
      <c r="B461" s="22" t="s">
        <v>222</v>
      </c>
      <c r="C461" s="22" t="s">
        <v>596</v>
      </c>
      <c r="D461" s="22" t="s">
        <v>165</v>
      </c>
      <c r="E461" s="22" t="s">
        <v>625</v>
      </c>
      <c r="F461" s="22" t="s">
        <v>536</v>
      </c>
      <c r="G461" s="31">
        <v>0.5</v>
      </c>
      <c r="H461" s="31">
        <v>0.5</v>
      </c>
      <c r="I461" s="31">
        <f t="shared" si="44"/>
        <v>100</v>
      </c>
    </row>
    <row r="462" spans="1:9" s="38" customFormat="1" x14ac:dyDescent="0.2">
      <c r="A462" s="64" t="s">
        <v>587</v>
      </c>
      <c r="B462" s="16">
        <v>603</v>
      </c>
      <c r="C462" s="16" t="s">
        <v>596</v>
      </c>
      <c r="D462" s="16" t="s">
        <v>167</v>
      </c>
      <c r="E462" s="16"/>
      <c r="F462" s="16"/>
      <c r="G462" s="32">
        <f>G463+G498</f>
        <v>24217.9</v>
      </c>
      <c r="H462" s="32">
        <f>H463+H498</f>
        <v>23361.357</v>
      </c>
      <c r="I462" s="32">
        <f t="shared" si="44"/>
        <v>96.463182191684666</v>
      </c>
    </row>
    <row r="463" spans="1:9" s="38" customFormat="1" ht="27" x14ac:dyDescent="0.2">
      <c r="A463" s="70" t="s">
        <v>438</v>
      </c>
      <c r="B463" s="43">
        <v>603</v>
      </c>
      <c r="C463" s="43" t="s">
        <v>596</v>
      </c>
      <c r="D463" s="43" t="s">
        <v>167</v>
      </c>
      <c r="E463" s="43" t="s">
        <v>337</v>
      </c>
      <c r="F463" s="43"/>
      <c r="G463" s="47">
        <f>G464+G483+G487</f>
        <v>24140.984</v>
      </c>
      <c r="H463" s="47">
        <f>H464+H483+H487</f>
        <v>23284.440999999999</v>
      </c>
      <c r="I463" s="47">
        <f t="shared" si="44"/>
        <v>96.451913476269226</v>
      </c>
    </row>
    <row r="464" spans="1:9" s="38" customFormat="1" ht="13.5" x14ac:dyDescent="0.2">
      <c r="A464" s="70" t="s">
        <v>164</v>
      </c>
      <c r="B464" s="43" t="s">
        <v>523</v>
      </c>
      <c r="C464" s="43" t="s">
        <v>596</v>
      </c>
      <c r="D464" s="43" t="s">
        <v>167</v>
      </c>
      <c r="E464" s="43" t="s">
        <v>352</v>
      </c>
      <c r="F464" s="43"/>
      <c r="G464" s="47">
        <f>G465+G468+G471+G474+G477+G480</f>
        <v>19684.439999999999</v>
      </c>
      <c r="H464" s="47">
        <f>H465+H468+H471+H474+H477+H480</f>
        <v>19175.14</v>
      </c>
      <c r="I464" s="47">
        <f t="shared" ref="I464:I473" si="47">H464/G464*100</f>
        <v>97.412677221196034</v>
      </c>
    </row>
    <row r="465" spans="1:9" s="38" customFormat="1" x14ac:dyDescent="0.2">
      <c r="A465" s="61" t="s">
        <v>194</v>
      </c>
      <c r="B465" s="16" t="s">
        <v>523</v>
      </c>
      <c r="C465" s="16" t="s">
        <v>596</v>
      </c>
      <c r="D465" s="16" t="s">
        <v>167</v>
      </c>
      <c r="E465" s="16" t="s">
        <v>80</v>
      </c>
      <c r="F465" s="17"/>
      <c r="G465" s="32">
        <f>G466</f>
        <v>18653.439999999999</v>
      </c>
      <c r="H465" s="32">
        <f>H466</f>
        <v>18653.14</v>
      </c>
      <c r="I465" s="32">
        <f t="shared" si="47"/>
        <v>99.998391717559869</v>
      </c>
    </row>
    <row r="466" spans="1:9" s="38" customFormat="1" x14ac:dyDescent="0.2">
      <c r="A466" s="68" t="s">
        <v>378</v>
      </c>
      <c r="B466" s="22" t="s">
        <v>523</v>
      </c>
      <c r="C466" s="22" t="s">
        <v>596</v>
      </c>
      <c r="D466" s="22" t="s">
        <v>167</v>
      </c>
      <c r="E466" s="22" t="s">
        <v>80</v>
      </c>
      <c r="F466" s="22" t="s">
        <v>175</v>
      </c>
      <c r="G466" s="31">
        <f>G467</f>
        <v>18653.439999999999</v>
      </c>
      <c r="H466" s="31">
        <f>H467</f>
        <v>18653.14</v>
      </c>
      <c r="I466" s="31">
        <f t="shared" si="47"/>
        <v>99.998391717559869</v>
      </c>
    </row>
    <row r="467" spans="1:9" s="38" customFormat="1" x14ac:dyDescent="0.2">
      <c r="A467" s="68" t="s">
        <v>176</v>
      </c>
      <c r="B467" s="22" t="s">
        <v>523</v>
      </c>
      <c r="C467" s="22" t="s">
        <v>596</v>
      </c>
      <c r="D467" s="22" t="s">
        <v>167</v>
      </c>
      <c r="E467" s="22" t="s">
        <v>80</v>
      </c>
      <c r="F467" s="22" t="s">
        <v>177</v>
      </c>
      <c r="G467" s="31">
        <f>17950+703.44</f>
        <v>18653.439999999999</v>
      </c>
      <c r="H467" s="31">
        <v>18653.14</v>
      </c>
      <c r="I467" s="31">
        <f t="shared" si="47"/>
        <v>99.998391717559869</v>
      </c>
    </row>
    <row r="468" spans="1:9" s="38" customFormat="1" ht="13.5" x14ac:dyDescent="0.2">
      <c r="A468" s="105" t="s">
        <v>452</v>
      </c>
      <c r="B468" s="16" t="s">
        <v>523</v>
      </c>
      <c r="C468" s="16" t="s">
        <v>596</v>
      </c>
      <c r="D468" s="16" t="s">
        <v>167</v>
      </c>
      <c r="E468" s="16" t="s">
        <v>79</v>
      </c>
      <c r="F468" s="43"/>
      <c r="G468" s="32">
        <f>G469</f>
        <v>9</v>
      </c>
      <c r="H468" s="135">
        <f>H469</f>
        <v>0</v>
      </c>
      <c r="I468" s="135">
        <f t="shared" si="47"/>
        <v>0</v>
      </c>
    </row>
    <row r="469" spans="1:9" s="38" customFormat="1" x14ac:dyDescent="0.2">
      <c r="A469" s="68" t="s">
        <v>378</v>
      </c>
      <c r="B469" s="22" t="s">
        <v>523</v>
      </c>
      <c r="C469" s="22" t="s">
        <v>596</v>
      </c>
      <c r="D469" s="22" t="s">
        <v>167</v>
      </c>
      <c r="E469" s="22" t="s">
        <v>79</v>
      </c>
      <c r="F469" s="22" t="s">
        <v>175</v>
      </c>
      <c r="G469" s="31">
        <f>G470</f>
        <v>9</v>
      </c>
      <c r="H469" s="133">
        <f>H470</f>
        <v>0</v>
      </c>
      <c r="I469" s="133">
        <f t="shared" si="47"/>
        <v>0</v>
      </c>
    </row>
    <row r="470" spans="1:9" s="38" customFormat="1" x14ac:dyDescent="0.2">
      <c r="A470" s="68" t="s">
        <v>176</v>
      </c>
      <c r="B470" s="22" t="s">
        <v>523</v>
      </c>
      <c r="C470" s="22" t="s">
        <v>596</v>
      </c>
      <c r="D470" s="22" t="s">
        <v>167</v>
      </c>
      <c r="E470" s="22" t="s">
        <v>79</v>
      </c>
      <c r="F470" s="22" t="s">
        <v>177</v>
      </c>
      <c r="G470" s="31">
        <f>500-491</f>
        <v>9</v>
      </c>
      <c r="H470" s="133">
        <v>0</v>
      </c>
      <c r="I470" s="133">
        <f t="shared" si="47"/>
        <v>0</v>
      </c>
    </row>
    <row r="471" spans="1:9" s="38" customFormat="1" ht="36" x14ac:dyDescent="0.2">
      <c r="A471" s="64" t="s">
        <v>455</v>
      </c>
      <c r="B471" s="16" t="s">
        <v>523</v>
      </c>
      <c r="C471" s="16" t="s">
        <v>596</v>
      </c>
      <c r="D471" s="16" t="s">
        <v>167</v>
      </c>
      <c r="E471" s="16" t="s">
        <v>81</v>
      </c>
      <c r="F471" s="16"/>
      <c r="G471" s="32">
        <f>G472</f>
        <v>200</v>
      </c>
      <c r="H471" s="32">
        <f>H472</f>
        <v>100</v>
      </c>
      <c r="I471" s="32">
        <f t="shared" si="47"/>
        <v>50</v>
      </c>
    </row>
    <row r="472" spans="1:9" s="38" customFormat="1" x14ac:dyDescent="0.2">
      <c r="A472" s="68" t="s">
        <v>378</v>
      </c>
      <c r="B472" s="22" t="s">
        <v>523</v>
      </c>
      <c r="C472" s="22" t="s">
        <v>596</v>
      </c>
      <c r="D472" s="22" t="s">
        <v>167</v>
      </c>
      <c r="E472" s="22" t="s">
        <v>81</v>
      </c>
      <c r="F472" s="22" t="s">
        <v>175</v>
      </c>
      <c r="G472" s="31">
        <f>G473</f>
        <v>200</v>
      </c>
      <c r="H472" s="31">
        <f>H473</f>
        <v>100</v>
      </c>
      <c r="I472" s="31">
        <f t="shared" si="47"/>
        <v>50</v>
      </c>
    </row>
    <row r="473" spans="1:9" s="38" customFormat="1" x14ac:dyDescent="0.2">
      <c r="A473" s="68" t="s">
        <v>176</v>
      </c>
      <c r="B473" s="22" t="s">
        <v>523</v>
      </c>
      <c r="C473" s="22" t="s">
        <v>596</v>
      </c>
      <c r="D473" s="22" t="s">
        <v>167</v>
      </c>
      <c r="E473" s="22" t="s">
        <v>81</v>
      </c>
      <c r="F473" s="22" t="s">
        <v>177</v>
      </c>
      <c r="G473" s="31">
        <v>200</v>
      </c>
      <c r="H473" s="31">
        <v>100</v>
      </c>
      <c r="I473" s="31">
        <f t="shared" si="47"/>
        <v>50</v>
      </c>
    </row>
    <row r="474" spans="1:9" s="38" customFormat="1" ht="24" x14ac:dyDescent="0.2">
      <c r="A474" s="64" t="s">
        <v>564</v>
      </c>
      <c r="B474" s="16" t="s">
        <v>523</v>
      </c>
      <c r="C474" s="16" t="s">
        <v>596</v>
      </c>
      <c r="D474" s="16" t="s">
        <v>167</v>
      </c>
      <c r="E474" s="16" t="s">
        <v>82</v>
      </c>
      <c r="F474" s="16"/>
      <c r="G474" s="32">
        <f>G475</f>
        <v>22</v>
      </c>
      <c r="H474" s="32">
        <f>H475</f>
        <v>22</v>
      </c>
      <c r="I474" s="32">
        <f t="shared" ref="I474:I506" si="48">H474/G474*100</f>
        <v>100</v>
      </c>
    </row>
    <row r="475" spans="1:9" s="38" customFormat="1" x14ac:dyDescent="0.2">
      <c r="A475" s="68" t="s">
        <v>378</v>
      </c>
      <c r="B475" s="22" t="s">
        <v>523</v>
      </c>
      <c r="C475" s="22" t="s">
        <v>596</v>
      </c>
      <c r="D475" s="22" t="s">
        <v>167</v>
      </c>
      <c r="E475" s="22" t="s">
        <v>82</v>
      </c>
      <c r="F475" s="22" t="s">
        <v>175</v>
      </c>
      <c r="G475" s="31">
        <f>G476</f>
        <v>22</v>
      </c>
      <c r="H475" s="31">
        <f>H476</f>
        <v>22</v>
      </c>
      <c r="I475" s="31">
        <f t="shared" si="48"/>
        <v>100</v>
      </c>
    </row>
    <row r="476" spans="1:9" s="38" customFormat="1" x14ac:dyDescent="0.2">
      <c r="A476" s="68" t="s">
        <v>176</v>
      </c>
      <c r="B476" s="22" t="s">
        <v>523</v>
      </c>
      <c r="C476" s="22" t="s">
        <v>596</v>
      </c>
      <c r="D476" s="22" t="s">
        <v>167</v>
      </c>
      <c r="E476" s="22" t="s">
        <v>82</v>
      </c>
      <c r="F476" s="22" t="s">
        <v>177</v>
      </c>
      <c r="G476" s="31">
        <f>500-478</f>
        <v>22</v>
      </c>
      <c r="H476" s="31">
        <v>22</v>
      </c>
      <c r="I476" s="31">
        <f t="shared" si="48"/>
        <v>100</v>
      </c>
    </row>
    <row r="477" spans="1:9" s="38" customFormat="1" ht="24" x14ac:dyDescent="0.2">
      <c r="A477" s="64" t="s">
        <v>431</v>
      </c>
      <c r="B477" s="16" t="s">
        <v>523</v>
      </c>
      <c r="C477" s="16" t="s">
        <v>596</v>
      </c>
      <c r="D477" s="16" t="s">
        <v>167</v>
      </c>
      <c r="E477" s="16" t="s">
        <v>83</v>
      </c>
      <c r="F477" s="16"/>
      <c r="G477" s="95">
        <f>G478</f>
        <v>500</v>
      </c>
      <c r="H477" s="95">
        <f>H478</f>
        <v>100</v>
      </c>
      <c r="I477" s="32">
        <f t="shared" si="48"/>
        <v>20</v>
      </c>
    </row>
    <row r="478" spans="1:9" s="38" customFormat="1" x14ac:dyDescent="0.2">
      <c r="A478" s="68" t="s">
        <v>378</v>
      </c>
      <c r="B478" s="22" t="s">
        <v>523</v>
      </c>
      <c r="C478" s="22" t="s">
        <v>596</v>
      </c>
      <c r="D478" s="22" t="s">
        <v>167</v>
      </c>
      <c r="E478" s="22" t="s">
        <v>83</v>
      </c>
      <c r="F478" s="22" t="s">
        <v>175</v>
      </c>
      <c r="G478" s="96">
        <f>G479</f>
        <v>500</v>
      </c>
      <c r="H478" s="96">
        <f>H479</f>
        <v>100</v>
      </c>
      <c r="I478" s="31">
        <f t="shared" si="48"/>
        <v>20</v>
      </c>
    </row>
    <row r="479" spans="1:9" s="38" customFormat="1" x14ac:dyDescent="0.2">
      <c r="A479" s="68" t="s">
        <v>176</v>
      </c>
      <c r="B479" s="22" t="s">
        <v>523</v>
      </c>
      <c r="C479" s="22" t="s">
        <v>596</v>
      </c>
      <c r="D479" s="22" t="s">
        <v>167</v>
      </c>
      <c r="E479" s="22" t="s">
        <v>83</v>
      </c>
      <c r="F479" s="22" t="s">
        <v>177</v>
      </c>
      <c r="G479" s="96">
        <v>500</v>
      </c>
      <c r="H479" s="96">
        <v>100</v>
      </c>
      <c r="I479" s="31">
        <f t="shared" si="48"/>
        <v>20</v>
      </c>
    </row>
    <row r="480" spans="1:9" s="39" customFormat="1" x14ac:dyDescent="0.2">
      <c r="A480" s="64" t="s">
        <v>430</v>
      </c>
      <c r="B480" s="16" t="s">
        <v>523</v>
      </c>
      <c r="C480" s="16" t="s">
        <v>596</v>
      </c>
      <c r="D480" s="16" t="s">
        <v>167</v>
      </c>
      <c r="E480" s="16" t="s">
        <v>84</v>
      </c>
      <c r="F480" s="16"/>
      <c r="G480" s="32">
        <f>G481</f>
        <v>300</v>
      </c>
      <c r="H480" s="32">
        <f>H481</f>
        <v>300</v>
      </c>
      <c r="I480" s="32">
        <f t="shared" si="48"/>
        <v>100</v>
      </c>
    </row>
    <row r="481" spans="1:9" s="39" customFormat="1" x14ac:dyDescent="0.2">
      <c r="A481" s="68" t="s">
        <v>378</v>
      </c>
      <c r="B481" s="22" t="s">
        <v>523</v>
      </c>
      <c r="C481" s="22" t="s">
        <v>596</v>
      </c>
      <c r="D481" s="22" t="s">
        <v>167</v>
      </c>
      <c r="E481" s="22" t="s">
        <v>84</v>
      </c>
      <c r="F481" s="22" t="s">
        <v>175</v>
      </c>
      <c r="G481" s="31">
        <f>G482</f>
        <v>300</v>
      </c>
      <c r="H481" s="31">
        <f>H482</f>
        <v>300</v>
      </c>
      <c r="I481" s="31">
        <f t="shared" si="48"/>
        <v>100</v>
      </c>
    </row>
    <row r="482" spans="1:9" s="39" customFormat="1" x14ac:dyDescent="0.2">
      <c r="A482" s="68" t="s">
        <v>176</v>
      </c>
      <c r="B482" s="22" t="s">
        <v>523</v>
      </c>
      <c r="C482" s="22" t="s">
        <v>596</v>
      </c>
      <c r="D482" s="22" t="s">
        <v>167</v>
      </c>
      <c r="E482" s="22" t="s">
        <v>84</v>
      </c>
      <c r="F482" s="22" t="s">
        <v>177</v>
      </c>
      <c r="G482" s="31">
        <v>300</v>
      </c>
      <c r="H482" s="31">
        <v>300</v>
      </c>
      <c r="I482" s="31">
        <f t="shared" si="48"/>
        <v>100</v>
      </c>
    </row>
    <row r="483" spans="1:9" s="39" customFormat="1" ht="15" customHeight="1" x14ac:dyDescent="0.2">
      <c r="A483" s="205" t="s">
        <v>470</v>
      </c>
      <c r="B483" s="206">
        <v>603</v>
      </c>
      <c r="C483" s="206" t="s">
        <v>596</v>
      </c>
      <c r="D483" s="206" t="s">
        <v>167</v>
      </c>
      <c r="E483" s="206" t="s">
        <v>342</v>
      </c>
      <c r="F483" s="125"/>
      <c r="G483" s="207">
        <f t="shared" ref="G483:H485" si="49">G484</f>
        <v>172.04400000000001</v>
      </c>
      <c r="H483" s="208">
        <f t="shared" si="49"/>
        <v>0</v>
      </c>
      <c r="I483" s="209">
        <f t="shared" ref="I483:I486" si="50">H483/G483*100</f>
        <v>0</v>
      </c>
    </row>
    <row r="484" spans="1:9" ht="24" x14ac:dyDescent="0.2">
      <c r="A484" s="121" t="s">
        <v>638</v>
      </c>
      <c r="B484" s="122" t="s">
        <v>523</v>
      </c>
      <c r="C484" s="122" t="s">
        <v>596</v>
      </c>
      <c r="D484" s="122" t="s">
        <v>167</v>
      </c>
      <c r="E484" s="122" t="s">
        <v>821</v>
      </c>
      <c r="F484" s="122"/>
      <c r="G484" s="127">
        <f t="shared" si="49"/>
        <v>172.04400000000001</v>
      </c>
      <c r="H484" s="123">
        <f t="shared" si="49"/>
        <v>0</v>
      </c>
      <c r="I484" s="123">
        <f t="shared" si="50"/>
        <v>0</v>
      </c>
    </row>
    <row r="485" spans="1:9" x14ac:dyDescent="0.2">
      <c r="A485" s="124" t="s">
        <v>378</v>
      </c>
      <c r="B485" s="125" t="s">
        <v>523</v>
      </c>
      <c r="C485" s="125" t="s">
        <v>596</v>
      </c>
      <c r="D485" s="125" t="s">
        <v>167</v>
      </c>
      <c r="E485" s="125" t="s">
        <v>821</v>
      </c>
      <c r="F485" s="125" t="s">
        <v>175</v>
      </c>
      <c r="G485" s="210">
        <f t="shared" si="49"/>
        <v>172.04400000000001</v>
      </c>
      <c r="H485" s="126">
        <f t="shared" si="49"/>
        <v>0</v>
      </c>
      <c r="I485" s="126">
        <f t="shared" si="50"/>
        <v>0</v>
      </c>
    </row>
    <row r="486" spans="1:9" x14ac:dyDescent="0.2">
      <c r="A486" s="124" t="s">
        <v>176</v>
      </c>
      <c r="B486" s="125" t="s">
        <v>523</v>
      </c>
      <c r="C486" s="125" t="s">
        <v>596</v>
      </c>
      <c r="D486" s="125" t="s">
        <v>167</v>
      </c>
      <c r="E486" s="125" t="s">
        <v>821</v>
      </c>
      <c r="F486" s="125" t="s">
        <v>177</v>
      </c>
      <c r="G486" s="210">
        <v>172.04400000000001</v>
      </c>
      <c r="H486" s="126">
        <v>0</v>
      </c>
      <c r="I486" s="126">
        <f t="shared" si="50"/>
        <v>0</v>
      </c>
    </row>
    <row r="487" spans="1:9" ht="11.25" customHeight="1" x14ac:dyDescent="0.2">
      <c r="A487" s="70" t="s">
        <v>349</v>
      </c>
      <c r="B487" s="43">
        <v>603</v>
      </c>
      <c r="C487" s="43" t="s">
        <v>596</v>
      </c>
      <c r="D487" s="43" t="s">
        <v>167</v>
      </c>
      <c r="E487" s="43" t="s">
        <v>351</v>
      </c>
      <c r="F487" s="43"/>
      <c r="G487" s="47">
        <f>G488</f>
        <v>4284.5</v>
      </c>
      <c r="H487" s="47">
        <f>H488</f>
        <v>4109.3009999999995</v>
      </c>
      <c r="I487" s="47">
        <f t="shared" si="48"/>
        <v>95.910864745011068</v>
      </c>
    </row>
    <row r="488" spans="1:9" ht="24" x14ac:dyDescent="0.2">
      <c r="A488" s="64" t="s">
        <v>350</v>
      </c>
      <c r="B488" s="16">
        <v>603</v>
      </c>
      <c r="C488" s="16" t="s">
        <v>596</v>
      </c>
      <c r="D488" s="16" t="s">
        <v>167</v>
      </c>
      <c r="E488" s="16" t="s">
        <v>351</v>
      </c>
      <c r="F488" s="16"/>
      <c r="G488" s="32">
        <f>G489</f>
        <v>4284.5</v>
      </c>
      <c r="H488" s="32">
        <f>H489</f>
        <v>4109.3009999999995</v>
      </c>
      <c r="I488" s="32">
        <f t="shared" si="48"/>
        <v>95.910864745011068</v>
      </c>
    </row>
    <row r="489" spans="1:9" ht="24" x14ac:dyDescent="0.2">
      <c r="A489" s="67" t="s">
        <v>524</v>
      </c>
      <c r="B489" s="17">
        <v>603</v>
      </c>
      <c r="C489" s="17" t="s">
        <v>596</v>
      </c>
      <c r="D489" s="17" t="s">
        <v>167</v>
      </c>
      <c r="E489" s="25" t="s">
        <v>351</v>
      </c>
      <c r="F489" s="17"/>
      <c r="G489" s="85">
        <f>G490+G493</f>
        <v>4284.5</v>
      </c>
      <c r="H489" s="85">
        <f>H490+H493</f>
        <v>4109.3009999999995</v>
      </c>
      <c r="I489" s="85">
        <f t="shared" si="48"/>
        <v>95.910864745011068</v>
      </c>
    </row>
    <row r="490" spans="1:9" ht="29.25" customHeight="1" x14ac:dyDescent="0.2">
      <c r="A490" s="66" t="s">
        <v>505</v>
      </c>
      <c r="B490" s="16" t="s">
        <v>523</v>
      </c>
      <c r="C490" s="16" t="s">
        <v>596</v>
      </c>
      <c r="D490" s="16" t="s">
        <v>167</v>
      </c>
      <c r="E490" s="16" t="s">
        <v>161</v>
      </c>
      <c r="F490" s="16"/>
      <c r="G490" s="32">
        <f>G491</f>
        <v>3925.49</v>
      </c>
      <c r="H490" s="32">
        <f>H491</f>
        <v>3881.5129999999999</v>
      </c>
      <c r="I490" s="32">
        <f t="shared" si="48"/>
        <v>98.8797067372481</v>
      </c>
    </row>
    <row r="491" spans="1:9" ht="36" x14ac:dyDescent="0.2">
      <c r="A491" s="68" t="s">
        <v>168</v>
      </c>
      <c r="B491" s="22" t="s">
        <v>523</v>
      </c>
      <c r="C491" s="22" t="s">
        <v>596</v>
      </c>
      <c r="D491" s="22" t="s">
        <v>167</v>
      </c>
      <c r="E491" s="22" t="s">
        <v>161</v>
      </c>
      <c r="F491" s="22" t="s">
        <v>169</v>
      </c>
      <c r="G491" s="31">
        <f>G492</f>
        <v>3925.49</v>
      </c>
      <c r="H491" s="31">
        <f>H492</f>
        <v>3881.5129999999999</v>
      </c>
      <c r="I491" s="31">
        <f t="shared" si="48"/>
        <v>98.8797067372481</v>
      </c>
    </row>
    <row r="492" spans="1:9" x14ac:dyDescent="0.2">
      <c r="A492" s="68" t="s">
        <v>170</v>
      </c>
      <c r="B492" s="22" t="s">
        <v>523</v>
      </c>
      <c r="C492" s="22" t="s">
        <v>596</v>
      </c>
      <c r="D492" s="22" t="s">
        <v>167</v>
      </c>
      <c r="E492" s="22" t="s">
        <v>161</v>
      </c>
      <c r="F492" s="22" t="s">
        <v>173</v>
      </c>
      <c r="G492" s="31">
        <f>2900+875+85.2+15.4+9.89+40</f>
        <v>3925.49</v>
      </c>
      <c r="H492" s="31">
        <v>3881.5129999999999</v>
      </c>
      <c r="I492" s="31">
        <f t="shared" si="48"/>
        <v>98.8797067372481</v>
      </c>
    </row>
    <row r="493" spans="1:9" ht="15" customHeight="1" x14ac:dyDescent="0.2">
      <c r="A493" s="64" t="s">
        <v>174</v>
      </c>
      <c r="B493" s="16" t="s">
        <v>523</v>
      </c>
      <c r="C493" s="16" t="s">
        <v>596</v>
      </c>
      <c r="D493" s="16" t="s">
        <v>167</v>
      </c>
      <c r="E493" s="16" t="s">
        <v>162</v>
      </c>
      <c r="F493" s="16"/>
      <c r="G493" s="32">
        <f>G494+G496</f>
        <v>359.01000000000005</v>
      </c>
      <c r="H493" s="32">
        <f>H494+H496</f>
        <v>227.78800000000001</v>
      </c>
      <c r="I493" s="32">
        <f t="shared" si="48"/>
        <v>63.448928999192219</v>
      </c>
    </row>
    <row r="494" spans="1:9" x14ac:dyDescent="0.2">
      <c r="A494" s="68" t="s">
        <v>378</v>
      </c>
      <c r="B494" s="22" t="s">
        <v>523</v>
      </c>
      <c r="C494" s="22" t="s">
        <v>596</v>
      </c>
      <c r="D494" s="22" t="s">
        <v>167</v>
      </c>
      <c r="E494" s="22" t="s">
        <v>162</v>
      </c>
      <c r="F494" s="22" t="s">
        <v>175</v>
      </c>
      <c r="G494" s="31">
        <f>G495</f>
        <v>327.21000000000004</v>
      </c>
      <c r="H494" s="31">
        <f>H495</f>
        <v>227.78800000000001</v>
      </c>
      <c r="I494" s="31">
        <f t="shared" si="48"/>
        <v>69.615231808318811</v>
      </c>
    </row>
    <row r="495" spans="1:9" x14ac:dyDescent="0.2">
      <c r="A495" s="68" t="s">
        <v>176</v>
      </c>
      <c r="B495" s="22" t="s">
        <v>523</v>
      </c>
      <c r="C495" s="22" t="s">
        <v>596</v>
      </c>
      <c r="D495" s="22" t="s">
        <v>167</v>
      </c>
      <c r="E495" s="22" t="s">
        <v>162</v>
      </c>
      <c r="F495" s="22" t="s">
        <v>177</v>
      </c>
      <c r="G495" s="31">
        <f>248.8+23+55.41</f>
        <v>327.21000000000004</v>
      </c>
      <c r="H495" s="31">
        <v>227.78800000000001</v>
      </c>
      <c r="I495" s="31">
        <f t="shared" si="48"/>
        <v>69.615231808318811</v>
      </c>
    </row>
    <row r="496" spans="1:9" x14ac:dyDescent="0.2">
      <c r="A496" s="68" t="s">
        <v>178</v>
      </c>
      <c r="B496" s="22" t="s">
        <v>523</v>
      </c>
      <c r="C496" s="22" t="s">
        <v>596</v>
      </c>
      <c r="D496" s="22" t="s">
        <v>167</v>
      </c>
      <c r="E496" s="22" t="s">
        <v>162</v>
      </c>
      <c r="F496" s="22" t="s">
        <v>179</v>
      </c>
      <c r="G496" s="31">
        <f>G497</f>
        <v>31.799999999999997</v>
      </c>
      <c r="H496" s="133">
        <f>H497</f>
        <v>0</v>
      </c>
      <c r="I496" s="133">
        <f t="shared" si="48"/>
        <v>0</v>
      </c>
    </row>
    <row r="497" spans="1:9" x14ac:dyDescent="0.2">
      <c r="A497" s="68" t="s">
        <v>87</v>
      </c>
      <c r="B497" s="22" t="s">
        <v>523</v>
      </c>
      <c r="C497" s="22" t="s">
        <v>596</v>
      </c>
      <c r="D497" s="22" t="s">
        <v>167</v>
      </c>
      <c r="E497" s="22" t="s">
        <v>162</v>
      </c>
      <c r="F497" s="22" t="s">
        <v>180</v>
      </c>
      <c r="G497" s="31">
        <f>140-108.2</f>
        <v>31.799999999999997</v>
      </c>
      <c r="H497" s="133">
        <v>0</v>
      </c>
      <c r="I497" s="133">
        <f t="shared" si="48"/>
        <v>0</v>
      </c>
    </row>
    <row r="498" spans="1:9" x14ac:dyDescent="0.2">
      <c r="A498" s="66" t="s">
        <v>163</v>
      </c>
      <c r="B498" s="16" t="s">
        <v>523</v>
      </c>
      <c r="C498" s="16" t="s">
        <v>596</v>
      </c>
      <c r="D498" s="16" t="s">
        <v>167</v>
      </c>
      <c r="E498" s="16" t="s">
        <v>293</v>
      </c>
      <c r="F498" s="16"/>
      <c r="G498" s="32">
        <f t="shared" ref="G498:H501" si="51">G499</f>
        <v>76.915999999999997</v>
      </c>
      <c r="H498" s="32">
        <f t="shared" si="51"/>
        <v>76.915999999999997</v>
      </c>
      <c r="I498" s="32">
        <f t="shared" si="48"/>
        <v>100</v>
      </c>
    </row>
    <row r="499" spans="1:9" x14ac:dyDescent="0.2">
      <c r="A499" s="66" t="s">
        <v>381</v>
      </c>
      <c r="B499" s="16" t="s">
        <v>523</v>
      </c>
      <c r="C499" s="16" t="s">
        <v>596</v>
      </c>
      <c r="D499" s="16" t="s">
        <v>167</v>
      </c>
      <c r="E499" s="16" t="s">
        <v>294</v>
      </c>
      <c r="F499" s="16"/>
      <c r="G499" s="32">
        <f t="shared" si="51"/>
        <v>76.915999999999997</v>
      </c>
      <c r="H499" s="32">
        <f t="shared" si="51"/>
        <v>76.915999999999997</v>
      </c>
      <c r="I499" s="32">
        <f t="shared" si="48"/>
        <v>100</v>
      </c>
    </row>
    <row r="500" spans="1:9" ht="24" x14ac:dyDescent="0.2">
      <c r="A500" s="64" t="s">
        <v>632</v>
      </c>
      <c r="B500" s="16" t="s">
        <v>523</v>
      </c>
      <c r="C500" s="16" t="s">
        <v>596</v>
      </c>
      <c r="D500" s="16" t="s">
        <v>167</v>
      </c>
      <c r="E500" s="16" t="s">
        <v>633</v>
      </c>
      <c r="F500" s="16"/>
      <c r="G500" s="32">
        <f t="shared" si="51"/>
        <v>76.915999999999997</v>
      </c>
      <c r="H500" s="32">
        <f t="shared" si="51"/>
        <v>76.915999999999997</v>
      </c>
      <c r="I500" s="32">
        <f t="shared" si="48"/>
        <v>100</v>
      </c>
    </row>
    <row r="501" spans="1:9" ht="36" x14ac:dyDescent="0.2">
      <c r="A501" s="68" t="s">
        <v>168</v>
      </c>
      <c r="B501" s="22" t="s">
        <v>523</v>
      </c>
      <c r="C501" s="22" t="s">
        <v>596</v>
      </c>
      <c r="D501" s="22" t="s">
        <v>167</v>
      </c>
      <c r="E501" s="22" t="s">
        <v>633</v>
      </c>
      <c r="F501" s="22" t="s">
        <v>169</v>
      </c>
      <c r="G501" s="31">
        <f t="shared" si="51"/>
        <v>76.915999999999997</v>
      </c>
      <c r="H501" s="31">
        <f t="shared" si="51"/>
        <v>76.915999999999997</v>
      </c>
      <c r="I501" s="31">
        <f t="shared" si="48"/>
        <v>100</v>
      </c>
    </row>
    <row r="502" spans="1:9" x14ac:dyDescent="0.2">
      <c r="A502" s="68" t="s">
        <v>170</v>
      </c>
      <c r="B502" s="22" t="s">
        <v>523</v>
      </c>
      <c r="C502" s="22" t="s">
        <v>596</v>
      </c>
      <c r="D502" s="22" t="s">
        <v>167</v>
      </c>
      <c r="E502" s="22" t="s">
        <v>633</v>
      </c>
      <c r="F502" s="22" t="s">
        <v>173</v>
      </c>
      <c r="G502" s="31">
        <v>76.915999999999997</v>
      </c>
      <c r="H502" s="31">
        <v>76.915999999999997</v>
      </c>
      <c r="I502" s="31">
        <f t="shared" si="48"/>
        <v>100</v>
      </c>
    </row>
    <row r="503" spans="1:9" ht="31.5" x14ac:dyDescent="0.2">
      <c r="A503" s="63" t="s">
        <v>225</v>
      </c>
      <c r="B503" s="36" t="s">
        <v>221</v>
      </c>
      <c r="C503" s="37"/>
      <c r="D503" s="37"/>
      <c r="E503" s="37"/>
      <c r="F503" s="37"/>
      <c r="G503" s="86">
        <f>G521+G511+G504</f>
        <v>533344.50300000003</v>
      </c>
      <c r="H503" s="86">
        <f>H521+H511+H504</f>
        <v>525236.83898</v>
      </c>
      <c r="I503" s="86">
        <f t="shared" si="48"/>
        <v>98.479844833049683</v>
      </c>
    </row>
    <row r="504" spans="1:9" x14ac:dyDescent="0.2">
      <c r="A504" s="64" t="s">
        <v>198</v>
      </c>
      <c r="B504" s="16" t="s">
        <v>221</v>
      </c>
      <c r="C504" s="16" t="s">
        <v>165</v>
      </c>
      <c r="D504" s="16" t="s">
        <v>166</v>
      </c>
      <c r="E504" s="16"/>
      <c r="F504" s="16"/>
      <c r="G504" s="32">
        <f t="shared" ref="G504:H509" si="52">G505</f>
        <v>93.742999999999995</v>
      </c>
      <c r="H504" s="32">
        <f t="shared" si="52"/>
        <v>93.742999999999995</v>
      </c>
      <c r="I504" s="32">
        <f t="shared" si="48"/>
        <v>100</v>
      </c>
    </row>
    <row r="505" spans="1:9" x14ac:dyDescent="0.2">
      <c r="A505" s="64" t="s">
        <v>405</v>
      </c>
      <c r="B505" s="16" t="s">
        <v>221</v>
      </c>
      <c r="C505" s="16" t="s">
        <v>165</v>
      </c>
      <c r="D505" s="16" t="s">
        <v>184</v>
      </c>
      <c r="E505" s="16"/>
      <c r="F505" s="16"/>
      <c r="G505" s="32">
        <f t="shared" si="52"/>
        <v>93.742999999999995</v>
      </c>
      <c r="H505" s="32">
        <f t="shared" si="52"/>
        <v>93.742999999999995</v>
      </c>
      <c r="I505" s="32">
        <f t="shared" si="48"/>
        <v>100</v>
      </c>
    </row>
    <row r="506" spans="1:9" x14ac:dyDescent="0.2">
      <c r="A506" s="64" t="s">
        <v>163</v>
      </c>
      <c r="B506" s="16" t="s">
        <v>221</v>
      </c>
      <c r="C506" s="16" t="s">
        <v>165</v>
      </c>
      <c r="D506" s="16" t="s">
        <v>184</v>
      </c>
      <c r="E506" s="33" t="s">
        <v>293</v>
      </c>
      <c r="F506" s="16"/>
      <c r="G506" s="32">
        <f t="shared" si="52"/>
        <v>93.742999999999995</v>
      </c>
      <c r="H506" s="32">
        <f t="shared" si="52"/>
        <v>93.742999999999995</v>
      </c>
      <c r="I506" s="32">
        <f t="shared" si="48"/>
        <v>100</v>
      </c>
    </row>
    <row r="507" spans="1:9" x14ac:dyDescent="0.2">
      <c r="A507" s="64" t="s">
        <v>381</v>
      </c>
      <c r="B507" s="16" t="s">
        <v>221</v>
      </c>
      <c r="C507" s="16" t="s">
        <v>165</v>
      </c>
      <c r="D507" s="16" t="s">
        <v>184</v>
      </c>
      <c r="E507" s="33" t="s">
        <v>294</v>
      </c>
      <c r="F507" s="16"/>
      <c r="G507" s="32">
        <f t="shared" si="52"/>
        <v>93.742999999999995</v>
      </c>
      <c r="H507" s="32">
        <f t="shared" si="52"/>
        <v>93.742999999999995</v>
      </c>
      <c r="I507" s="32">
        <f t="shared" ref="I507:I538" si="53">H507/G507*100</f>
        <v>100</v>
      </c>
    </row>
    <row r="508" spans="1:9" x14ac:dyDescent="0.2">
      <c r="A508" s="64" t="s">
        <v>406</v>
      </c>
      <c r="B508" s="17" t="s">
        <v>221</v>
      </c>
      <c r="C508" s="17" t="s">
        <v>165</v>
      </c>
      <c r="D508" s="17" t="s">
        <v>184</v>
      </c>
      <c r="E508" s="44" t="s">
        <v>104</v>
      </c>
      <c r="F508" s="17"/>
      <c r="G508" s="35">
        <f t="shared" si="52"/>
        <v>93.742999999999995</v>
      </c>
      <c r="H508" s="35">
        <f t="shared" si="52"/>
        <v>93.742999999999995</v>
      </c>
      <c r="I508" s="35">
        <f t="shared" si="53"/>
        <v>100</v>
      </c>
    </row>
    <row r="509" spans="1:9" x14ac:dyDescent="0.2">
      <c r="A509" s="68" t="s">
        <v>178</v>
      </c>
      <c r="B509" s="22" t="s">
        <v>221</v>
      </c>
      <c r="C509" s="22" t="s">
        <v>165</v>
      </c>
      <c r="D509" s="22" t="s">
        <v>184</v>
      </c>
      <c r="E509" s="30" t="s">
        <v>104</v>
      </c>
      <c r="F509" s="22" t="s">
        <v>179</v>
      </c>
      <c r="G509" s="31">
        <f t="shared" si="52"/>
        <v>93.742999999999995</v>
      </c>
      <c r="H509" s="31">
        <f t="shared" si="52"/>
        <v>93.742999999999995</v>
      </c>
      <c r="I509" s="31">
        <f t="shared" si="53"/>
        <v>100</v>
      </c>
    </row>
    <row r="510" spans="1:9" x14ac:dyDescent="0.2">
      <c r="A510" s="68" t="s">
        <v>228</v>
      </c>
      <c r="B510" s="22" t="s">
        <v>221</v>
      </c>
      <c r="C510" s="22" t="s">
        <v>165</v>
      </c>
      <c r="D510" s="22" t="s">
        <v>184</v>
      </c>
      <c r="E510" s="30" t="s">
        <v>104</v>
      </c>
      <c r="F510" s="22" t="s">
        <v>232</v>
      </c>
      <c r="G510" s="31">
        <v>93.742999999999995</v>
      </c>
      <c r="H510" s="31">
        <v>93.742999999999995</v>
      </c>
      <c r="I510" s="31">
        <f t="shared" si="53"/>
        <v>100</v>
      </c>
    </row>
    <row r="511" spans="1:9" x14ac:dyDescent="0.2">
      <c r="A511" s="64" t="s">
        <v>475</v>
      </c>
      <c r="B511" s="16" t="s">
        <v>221</v>
      </c>
      <c r="C511" s="16" t="s">
        <v>167</v>
      </c>
      <c r="D511" s="16" t="s">
        <v>166</v>
      </c>
      <c r="E511" s="16"/>
      <c r="F511" s="16"/>
      <c r="G511" s="32">
        <f t="shared" ref="G511:H513" si="54">G512</f>
        <v>6000</v>
      </c>
      <c r="H511" s="32">
        <f t="shared" si="54"/>
        <v>5997.5722799999994</v>
      </c>
      <c r="I511" s="32">
        <f t="shared" si="53"/>
        <v>99.959537999999995</v>
      </c>
    </row>
    <row r="512" spans="1:9" x14ac:dyDescent="0.2">
      <c r="A512" s="64" t="s">
        <v>485</v>
      </c>
      <c r="B512" s="16" t="s">
        <v>221</v>
      </c>
      <c r="C512" s="16" t="s">
        <v>167</v>
      </c>
      <c r="D512" s="16" t="s">
        <v>598</v>
      </c>
      <c r="E512" s="16"/>
      <c r="F512" s="16"/>
      <c r="G512" s="32">
        <f t="shared" si="54"/>
        <v>6000</v>
      </c>
      <c r="H512" s="32">
        <f t="shared" si="54"/>
        <v>5997.5722799999994</v>
      </c>
      <c r="I512" s="32">
        <f t="shared" si="53"/>
        <v>99.959537999999995</v>
      </c>
    </row>
    <row r="513" spans="1:9" ht="27" x14ac:dyDescent="0.2">
      <c r="A513" s="70" t="s">
        <v>348</v>
      </c>
      <c r="B513" s="43" t="s">
        <v>221</v>
      </c>
      <c r="C513" s="43" t="s">
        <v>167</v>
      </c>
      <c r="D513" s="43" t="s">
        <v>598</v>
      </c>
      <c r="E513" s="77" t="s">
        <v>335</v>
      </c>
      <c r="F513" s="43"/>
      <c r="G513" s="47">
        <f t="shared" si="54"/>
        <v>6000</v>
      </c>
      <c r="H513" s="47">
        <f t="shared" si="54"/>
        <v>5997.5722799999994</v>
      </c>
      <c r="I513" s="47">
        <f t="shared" si="53"/>
        <v>99.959537999999995</v>
      </c>
    </row>
    <row r="514" spans="1:9" x14ac:dyDescent="0.2">
      <c r="A514" s="64" t="s">
        <v>339</v>
      </c>
      <c r="B514" s="16" t="s">
        <v>221</v>
      </c>
      <c r="C514" s="16" t="s">
        <v>167</v>
      </c>
      <c r="D514" s="16" t="s">
        <v>598</v>
      </c>
      <c r="E514" s="16" t="s">
        <v>47</v>
      </c>
      <c r="F514" s="16"/>
      <c r="G514" s="32">
        <f>G515+G517+G519</f>
        <v>6000</v>
      </c>
      <c r="H514" s="32">
        <f>H515+H517+H519</f>
        <v>5997.5722799999994</v>
      </c>
      <c r="I514" s="32">
        <f t="shared" si="53"/>
        <v>99.959537999999995</v>
      </c>
    </row>
    <row r="515" spans="1:9" ht="36" x14ac:dyDescent="0.2">
      <c r="A515" s="68" t="s">
        <v>168</v>
      </c>
      <c r="B515" s="22" t="s">
        <v>221</v>
      </c>
      <c r="C515" s="22" t="s">
        <v>167</v>
      </c>
      <c r="D515" s="22" t="s">
        <v>598</v>
      </c>
      <c r="E515" s="22" t="s">
        <v>47</v>
      </c>
      <c r="F515" s="22" t="s">
        <v>169</v>
      </c>
      <c r="G515" s="31">
        <f>G516</f>
        <v>5273.64</v>
      </c>
      <c r="H515" s="31">
        <f>H516</f>
        <v>5273.6274800000001</v>
      </c>
      <c r="I515" s="31">
        <f t="shared" si="53"/>
        <v>99.999762592820147</v>
      </c>
    </row>
    <row r="516" spans="1:9" x14ac:dyDescent="0.2">
      <c r="A516" s="68" t="s">
        <v>594</v>
      </c>
      <c r="B516" s="22" t="s">
        <v>221</v>
      </c>
      <c r="C516" s="22" t="s">
        <v>167</v>
      </c>
      <c r="D516" s="22" t="s">
        <v>598</v>
      </c>
      <c r="E516" s="22" t="s">
        <v>47</v>
      </c>
      <c r="F516" s="22" t="s">
        <v>595</v>
      </c>
      <c r="G516" s="31">
        <f>3872+1169+20+212.64</f>
        <v>5273.64</v>
      </c>
      <c r="H516" s="31">
        <v>5273.6274800000001</v>
      </c>
      <c r="I516" s="31">
        <f t="shared" si="53"/>
        <v>99.999762592820147</v>
      </c>
    </row>
    <row r="517" spans="1:9" x14ac:dyDescent="0.2">
      <c r="A517" s="68" t="s">
        <v>378</v>
      </c>
      <c r="B517" s="22" t="s">
        <v>221</v>
      </c>
      <c r="C517" s="22" t="s">
        <v>167</v>
      </c>
      <c r="D517" s="22" t="s">
        <v>598</v>
      </c>
      <c r="E517" s="22" t="s">
        <v>47</v>
      </c>
      <c r="F517" s="22" t="s">
        <v>175</v>
      </c>
      <c r="G517" s="31">
        <f>G518</f>
        <v>685.00887</v>
      </c>
      <c r="H517" s="31">
        <f>H518</f>
        <v>684.15679999999998</v>
      </c>
      <c r="I517" s="31">
        <f t="shared" si="53"/>
        <v>99.875611829668713</v>
      </c>
    </row>
    <row r="518" spans="1:9" ht="15" customHeight="1" x14ac:dyDescent="0.2">
      <c r="A518" s="68" t="s">
        <v>176</v>
      </c>
      <c r="B518" s="22" t="s">
        <v>221</v>
      </c>
      <c r="C518" s="22" t="s">
        <v>167</v>
      </c>
      <c r="D518" s="22" t="s">
        <v>598</v>
      </c>
      <c r="E518" s="22" t="s">
        <v>47</v>
      </c>
      <c r="F518" s="22" t="s">
        <v>177</v>
      </c>
      <c r="G518" s="31">
        <f>934-0.25113-20-16.1-212.64</f>
        <v>685.00887</v>
      </c>
      <c r="H518" s="31">
        <v>684.15679999999998</v>
      </c>
      <c r="I518" s="31">
        <f t="shared" si="53"/>
        <v>99.875611829668713</v>
      </c>
    </row>
    <row r="519" spans="1:9" x14ac:dyDescent="0.2">
      <c r="A519" s="68" t="s">
        <v>178</v>
      </c>
      <c r="B519" s="22" t="s">
        <v>221</v>
      </c>
      <c r="C519" s="22" t="s">
        <v>167</v>
      </c>
      <c r="D519" s="22" t="s">
        <v>598</v>
      </c>
      <c r="E519" s="22" t="s">
        <v>47</v>
      </c>
      <c r="F519" s="22" t="s">
        <v>179</v>
      </c>
      <c r="G519" s="31">
        <f>G520</f>
        <v>41.351129999999998</v>
      </c>
      <c r="H519" s="31">
        <f>H520</f>
        <v>39.787999999999997</v>
      </c>
      <c r="I519" s="31">
        <f t="shared" si="53"/>
        <v>96.219861464487195</v>
      </c>
    </row>
    <row r="520" spans="1:9" x14ac:dyDescent="0.2">
      <c r="A520" s="68" t="s">
        <v>233</v>
      </c>
      <c r="B520" s="22" t="s">
        <v>221</v>
      </c>
      <c r="C520" s="22" t="s">
        <v>167</v>
      </c>
      <c r="D520" s="22" t="s">
        <v>598</v>
      </c>
      <c r="E520" s="22" t="s">
        <v>47</v>
      </c>
      <c r="F520" s="22" t="s">
        <v>180</v>
      </c>
      <c r="G520" s="31">
        <f>25+0.25113+16.1</f>
        <v>41.351129999999998</v>
      </c>
      <c r="H520" s="31">
        <v>39.787999999999997</v>
      </c>
      <c r="I520" s="31">
        <f t="shared" si="53"/>
        <v>96.219861464487195</v>
      </c>
    </row>
    <row r="521" spans="1:9" x14ac:dyDescent="0.2">
      <c r="A521" s="64" t="s">
        <v>487</v>
      </c>
      <c r="B521" s="16" t="s">
        <v>221</v>
      </c>
      <c r="C521" s="16" t="s">
        <v>542</v>
      </c>
      <c r="D521" s="16" t="s">
        <v>166</v>
      </c>
      <c r="E521" s="16"/>
      <c r="F521" s="16"/>
      <c r="G521" s="32">
        <f>G522+G558</f>
        <v>527250.76</v>
      </c>
      <c r="H521" s="32">
        <f>H522+H558</f>
        <v>519145.52370000002</v>
      </c>
      <c r="I521" s="32">
        <f t="shared" si="53"/>
        <v>98.462735966468784</v>
      </c>
    </row>
    <row r="522" spans="1:9" x14ac:dyDescent="0.2">
      <c r="A522" s="64" t="s">
        <v>491</v>
      </c>
      <c r="B522" s="16" t="s">
        <v>221</v>
      </c>
      <c r="C522" s="16" t="s">
        <v>542</v>
      </c>
      <c r="D522" s="16" t="s">
        <v>591</v>
      </c>
      <c r="E522" s="16"/>
      <c r="F522" s="16"/>
      <c r="G522" s="32">
        <f>G523+G551</f>
        <v>520587.19700000004</v>
      </c>
      <c r="H522" s="32">
        <f>H523+H551</f>
        <v>512750.17000000004</v>
      </c>
      <c r="I522" s="32">
        <f t="shared" si="53"/>
        <v>98.494579381674654</v>
      </c>
    </row>
    <row r="523" spans="1:9" ht="27" x14ac:dyDescent="0.2">
      <c r="A523" s="70" t="s">
        <v>348</v>
      </c>
      <c r="B523" s="43" t="s">
        <v>221</v>
      </c>
      <c r="C523" s="43" t="s">
        <v>542</v>
      </c>
      <c r="D523" s="43" t="s">
        <v>591</v>
      </c>
      <c r="E523" s="77" t="s">
        <v>335</v>
      </c>
      <c r="F523" s="43"/>
      <c r="G523" s="47">
        <f>G524+G527+G530+G533+G536+G539+G542+G545+G548</f>
        <v>349953.65700000001</v>
      </c>
      <c r="H523" s="47">
        <f>H524+H527+H530+H533+H536+H539+H542+H545+H548</f>
        <v>342116.63</v>
      </c>
      <c r="I523" s="47">
        <f t="shared" si="53"/>
        <v>97.760552906580998</v>
      </c>
    </row>
    <row r="524" spans="1:9" x14ac:dyDescent="0.2">
      <c r="A524" s="61" t="s">
        <v>8</v>
      </c>
      <c r="B524" s="16" t="s">
        <v>221</v>
      </c>
      <c r="C524" s="16" t="s">
        <v>542</v>
      </c>
      <c r="D524" s="16" t="s">
        <v>591</v>
      </c>
      <c r="E524" s="16" t="s">
        <v>40</v>
      </c>
      <c r="F524" s="16"/>
      <c r="G524" s="32">
        <f>G525</f>
        <v>21300</v>
      </c>
      <c r="H524" s="32">
        <f>H525</f>
        <v>19069.933000000001</v>
      </c>
      <c r="I524" s="32">
        <f t="shared" si="53"/>
        <v>89.530201877934275</v>
      </c>
    </row>
    <row r="525" spans="1:9" x14ac:dyDescent="0.2">
      <c r="A525" s="68" t="s">
        <v>378</v>
      </c>
      <c r="B525" s="22" t="s">
        <v>221</v>
      </c>
      <c r="C525" s="22" t="s">
        <v>542</v>
      </c>
      <c r="D525" s="22" t="s">
        <v>591</v>
      </c>
      <c r="E525" s="22" t="s">
        <v>40</v>
      </c>
      <c r="F525" s="22" t="s">
        <v>175</v>
      </c>
      <c r="G525" s="31">
        <f>G526</f>
        <v>21300</v>
      </c>
      <c r="H525" s="31">
        <f>H526</f>
        <v>19069.933000000001</v>
      </c>
      <c r="I525" s="31">
        <f t="shared" si="53"/>
        <v>89.530201877934275</v>
      </c>
    </row>
    <row r="526" spans="1:9" ht="15" customHeight="1" x14ac:dyDescent="0.2">
      <c r="A526" s="68" t="s">
        <v>176</v>
      </c>
      <c r="B526" s="22" t="s">
        <v>221</v>
      </c>
      <c r="C526" s="22" t="s">
        <v>542</v>
      </c>
      <c r="D526" s="22" t="s">
        <v>591</v>
      </c>
      <c r="E526" s="22" t="s">
        <v>40</v>
      </c>
      <c r="F526" s="22" t="s">
        <v>177</v>
      </c>
      <c r="G526" s="31">
        <f>16100+4200+1000</f>
        <v>21300</v>
      </c>
      <c r="H526" s="31">
        <v>19069.933000000001</v>
      </c>
      <c r="I526" s="31">
        <f t="shared" si="53"/>
        <v>89.530201877934275</v>
      </c>
    </row>
    <row r="527" spans="1:9" x14ac:dyDescent="0.2">
      <c r="A527" s="61" t="s">
        <v>446</v>
      </c>
      <c r="B527" s="16" t="s">
        <v>221</v>
      </c>
      <c r="C527" s="16" t="s">
        <v>542</v>
      </c>
      <c r="D527" s="16" t="s">
        <v>591</v>
      </c>
      <c r="E527" s="16" t="s">
        <v>41</v>
      </c>
      <c r="F527" s="16"/>
      <c r="G527" s="32">
        <f>G528</f>
        <v>2000</v>
      </c>
      <c r="H527" s="32">
        <f>H528</f>
        <v>2000</v>
      </c>
      <c r="I527" s="32">
        <f t="shared" si="53"/>
        <v>100</v>
      </c>
    </row>
    <row r="528" spans="1:9" x14ac:dyDescent="0.2">
      <c r="A528" s="68" t="s">
        <v>378</v>
      </c>
      <c r="B528" s="22" t="s">
        <v>221</v>
      </c>
      <c r="C528" s="22" t="s">
        <v>542</v>
      </c>
      <c r="D528" s="22" t="s">
        <v>591</v>
      </c>
      <c r="E528" s="22" t="s">
        <v>41</v>
      </c>
      <c r="F528" s="22" t="s">
        <v>175</v>
      </c>
      <c r="G528" s="31">
        <f>G529</f>
        <v>2000</v>
      </c>
      <c r="H528" s="31">
        <f>H529</f>
        <v>2000</v>
      </c>
      <c r="I528" s="31">
        <f t="shared" si="53"/>
        <v>100</v>
      </c>
    </row>
    <row r="529" spans="1:9" ht="15" customHeight="1" x14ac:dyDescent="0.2">
      <c r="A529" s="68" t="s">
        <v>176</v>
      </c>
      <c r="B529" s="22" t="s">
        <v>221</v>
      </c>
      <c r="C529" s="22" t="s">
        <v>542</v>
      </c>
      <c r="D529" s="22" t="s">
        <v>591</v>
      </c>
      <c r="E529" s="22" t="s">
        <v>41</v>
      </c>
      <c r="F529" s="22" t="s">
        <v>177</v>
      </c>
      <c r="G529" s="31">
        <v>2000</v>
      </c>
      <c r="H529" s="31">
        <v>2000</v>
      </c>
      <c r="I529" s="31">
        <f t="shared" si="53"/>
        <v>100</v>
      </c>
    </row>
    <row r="530" spans="1:9" x14ac:dyDescent="0.2">
      <c r="A530" s="64" t="s">
        <v>447</v>
      </c>
      <c r="B530" s="16" t="s">
        <v>221</v>
      </c>
      <c r="C530" s="16" t="s">
        <v>542</v>
      </c>
      <c r="D530" s="16" t="s">
        <v>591</v>
      </c>
      <c r="E530" s="16" t="s">
        <v>42</v>
      </c>
      <c r="F530" s="16"/>
      <c r="G530" s="32">
        <f>G531</f>
        <v>2000</v>
      </c>
      <c r="H530" s="32">
        <f>H531</f>
        <v>1990</v>
      </c>
      <c r="I530" s="32">
        <f t="shared" si="53"/>
        <v>99.5</v>
      </c>
    </row>
    <row r="531" spans="1:9" x14ac:dyDescent="0.2">
      <c r="A531" s="68" t="s">
        <v>378</v>
      </c>
      <c r="B531" s="22" t="s">
        <v>221</v>
      </c>
      <c r="C531" s="22" t="s">
        <v>542</v>
      </c>
      <c r="D531" s="22" t="s">
        <v>591</v>
      </c>
      <c r="E531" s="22" t="s">
        <v>42</v>
      </c>
      <c r="F531" s="22" t="s">
        <v>175</v>
      </c>
      <c r="G531" s="31">
        <f>G532</f>
        <v>2000</v>
      </c>
      <c r="H531" s="31">
        <f>H532</f>
        <v>1990</v>
      </c>
      <c r="I531" s="31">
        <f t="shared" si="53"/>
        <v>99.5</v>
      </c>
    </row>
    <row r="532" spans="1:9" ht="15" customHeight="1" x14ac:dyDescent="0.2">
      <c r="A532" s="68" t="s">
        <v>176</v>
      </c>
      <c r="B532" s="22" t="s">
        <v>221</v>
      </c>
      <c r="C532" s="22" t="s">
        <v>542</v>
      </c>
      <c r="D532" s="22" t="s">
        <v>591</v>
      </c>
      <c r="E532" s="22" t="s">
        <v>42</v>
      </c>
      <c r="F532" s="22" t="s">
        <v>177</v>
      </c>
      <c r="G532" s="31">
        <v>2000</v>
      </c>
      <c r="H532" s="31">
        <v>1990</v>
      </c>
      <c r="I532" s="31">
        <f t="shared" si="53"/>
        <v>99.5</v>
      </c>
    </row>
    <row r="533" spans="1:9" ht="24" x14ac:dyDescent="0.2">
      <c r="A533" s="61" t="s">
        <v>427</v>
      </c>
      <c r="B533" s="16" t="s">
        <v>221</v>
      </c>
      <c r="C533" s="16" t="s">
        <v>542</v>
      </c>
      <c r="D533" s="16" t="s">
        <v>591</v>
      </c>
      <c r="E533" s="16" t="s">
        <v>43</v>
      </c>
      <c r="F533" s="16"/>
      <c r="G533" s="32">
        <f>G534</f>
        <v>4406.2569999999996</v>
      </c>
      <c r="H533" s="32">
        <f>H534</f>
        <v>4306.1390000000001</v>
      </c>
      <c r="I533" s="32">
        <f t="shared" si="53"/>
        <v>97.727822049417469</v>
      </c>
    </row>
    <row r="534" spans="1:9" x14ac:dyDescent="0.2">
      <c r="A534" s="68" t="s">
        <v>378</v>
      </c>
      <c r="B534" s="22" t="s">
        <v>221</v>
      </c>
      <c r="C534" s="22" t="s">
        <v>542</v>
      </c>
      <c r="D534" s="22" t="s">
        <v>591</v>
      </c>
      <c r="E534" s="22" t="s">
        <v>43</v>
      </c>
      <c r="F534" s="22" t="s">
        <v>175</v>
      </c>
      <c r="G534" s="31">
        <f>G535</f>
        <v>4406.2569999999996</v>
      </c>
      <c r="H534" s="31">
        <f>H535</f>
        <v>4306.1390000000001</v>
      </c>
      <c r="I534" s="31">
        <f t="shared" si="53"/>
        <v>97.727822049417469</v>
      </c>
    </row>
    <row r="535" spans="1:9" ht="15" customHeight="1" x14ac:dyDescent="0.2">
      <c r="A535" s="68" t="s">
        <v>176</v>
      </c>
      <c r="B535" s="22" t="s">
        <v>221</v>
      </c>
      <c r="C535" s="22" t="s">
        <v>542</v>
      </c>
      <c r="D535" s="22" t="s">
        <v>591</v>
      </c>
      <c r="E535" s="22" t="s">
        <v>43</v>
      </c>
      <c r="F535" s="22" t="s">
        <v>177</v>
      </c>
      <c r="G535" s="31">
        <v>4406.2569999999996</v>
      </c>
      <c r="H535" s="31">
        <v>4306.1390000000001</v>
      </c>
      <c r="I535" s="31">
        <f t="shared" si="53"/>
        <v>97.727822049417469</v>
      </c>
    </row>
    <row r="536" spans="1:9" x14ac:dyDescent="0.2">
      <c r="A536" s="62" t="s">
        <v>428</v>
      </c>
      <c r="B536" s="16" t="s">
        <v>221</v>
      </c>
      <c r="C536" s="16" t="s">
        <v>542</v>
      </c>
      <c r="D536" s="16" t="s">
        <v>591</v>
      </c>
      <c r="E536" s="28" t="s">
        <v>44</v>
      </c>
      <c r="F536" s="28"/>
      <c r="G536" s="32">
        <f>G537</f>
        <v>1000</v>
      </c>
      <c r="H536" s="32">
        <f>H537</f>
        <v>978</v>
      </c>
      <c r="I536" s="32">
        <f t="shared" si="53"/>
        <v>97.8</v>
      </c>
    </row>
    <row r="537" spans="1:9" x14ac:dyDescent="0.2">
      <c r="A537" s="68" t="s">
        <v>239</v>
      </c>
      <c r="B537" s="22" t="s">
        <v>221</v>
      </c>
      <c r="C537" s="22" t="s">
        <v>542</v>
      </c>
      <c r="D537" s="22" t="s">
        <v>591</v>
      </c>
      <c r="E537" s="23" t="s">
        <v>44</v>
      </c>
      <c r="F537" s="22" t="s">
        <v>175</v>
      </c>
      <c r="G537" s="31">
        <f>G538</f>
        <v>1000</v>
      </c>
      <c r="H537" s="31">
        <f>H538</f>
        <v>978</v>
      </c>
      <c r="I537" s="31">
        <f t="shared" si="53"/>
        <v>97.8</v>
      </c>
    </row>
    <row r="538" spans="1:9" ht="15" customHeight="1" x14ac:dyDescent="0.2">
      <c r="A538" s="68" t="s">
        <v>176</v>
      </c>
      <c r="B538" s="22" t="s">
        <v>221</v>
      </c>
      <c r="C538" s="22" t="s">
        <v>542</v>
      </c>
      <c r="D538" s="22" t="s">
        <v>591</v>
      </c>
      <c r="E538" s="23" t="s">
        <v>44</v>
      </c>
      <c r="F538" s="22" t="s">
        <v>177</v>
      </c>
      <c r="G538" s="31">
        <v>1000</v>
      </c>
      <c r="H538" s="31">
        <v>978</v>
      </c>
      <c r="I538" s="31">
        <f t="shared" si="53"/>
        <v>97.8</v>
      </c>
    </row>
    <row r="539" spans="1:9" x14ac:dyDescent="0.2">
      <c r="A539" s="71" t="s">
        <v>319</v>
      </c>
      <c r="B539" s="16" t="s">
        <v>221</v>
      </c>
      <c r="C539" s="16" t="s">
        <v>542</v>
      </c>
      <c r="D539" s="16" t="s">
        <v>591</v>
      </c>
      <c r="E539" s="16" t="s">
        <v>45</v>
      </c>
      <c r="F539" s="16"/>
      <c r="G539" s="32">
        <f>G540</f>
        <v>70000</v>
      </c>
      <c r="H539" s="32">
        <f>H540</f>
        <v>69999.595000000001</v>
      </c>
      <c r="I539" s="32">
        <f t="shared" ref="I539:I544" si="55">H539/G539*100</f>
        <v>99.999421428571438</v>
      </c>
    </row>
    <row r="540" spans="1:9" x14ac:dyDescent="0.2">
      <c r="A540" s="68" t="s">
        <v>378</v>
      </c>
      <c r="B540" s="22" t="s">
        <v>221</v>
      </c>
      <c r="C540" s="22" t="s">
        <v>542</v>
      </c>
      <c r="D540" s="22" t="s">
        <v>591</v>
      </c>
      <c r="E540" s="22" t="s">
        <v>45</v>
      </c>
      <c r="F540" s="22" t="s">
        <v>175</v>
      </c>
      <c r="G540" s="31">
        <f>G541</f>
        <v>70000</v>
      </c>
      <c r="H540" s="31">
        <f>H541</f>
        <v>69999.595000000001</v>
      </c>
      <c r="I540" s="31">
        <f t="shared" si="55"/>
        <v>99.999421428571438</v>
      </c>
    </row>
    <row r="541" spans="1:9" ht="15" customHeight="1" x14ac:dyDescent="0.2">
      <c r="A541" s="68" t="s">
        <v>176</v>
      </c>
      <c r="B541" s="22" t="s">
        <v>221</v>
      </c>
      <c r="C541" s="22" t="s">
        <v>542</v>
      </c>
      <c r="D541" s="22" t="s">
        <v>591</v>
      </c>
      <c r="E541" s="22" t="s">
        <v>45</v>
      </c>
      <c r="F541" s="22" t="s">
        <v>177</v>
      </c>
      <c r="G541" s="31">
        <v>70000</v>
      </c>
      <c r="H541" s="31">
        <v>69999.595000000001</v>
      </c>
      <c r="I541" s="31">
        <f t="shared" si="55"/>
        <v>99.999421428571438</v>
      </c>
    </row>
    <row r="542" spans="1:9" x14ac:dyDescent="0.2">
      <c r="A542" s="71" t="s">
        <v>429</v>
      </c>
      <c r="B542" s="16" t="s">
        <v>221</v>
      </c>
      <c r="C542" s="16" t="s">
        <v>542</v>
      </c>
      <c r="D542" s="16" t="s">
        <v>591</v>
      </c>
      <c r="E542" s="16" t="s">
        <v>46</v>
      </c>
      <c r="F542" s="16"/>
      <c r="G542" s="32">
        <f>G543</f>
        <v>18800</v>
      </c>
      <c r="H542" s="32">
        <f>H543</f>
        <v>18299.98</v>
      </c>
      <c r="I542" s="32">
        <f t="shared" si="55"/>
        <v>97.340319148936175</v>
      </c>
    </row>
    <row r="543" spans="1:9" x14ac:dyDescent="0.2">
      <c r="A543" s="68" t="s">
        <v>378</v>
      </c>
      <c r="B543" s="22" t="s">
        <v>221</v>
      </c>
      <c r="C543" s="22" t="s">
        <v>542</v>
      </c>
      <c r="D543" s="22" t="s">
        <v>591</v>
      </c>
      <c r="E543" s="22" t="s">
        <v>46</v>
      </c>
      <c r="F543" s="22" t="s">
        <v>175</v>
      </c>
      <c r="G543" s="31">
        <f>G544</f>
        <v>18800</v>
      </c>
      <c r="H543" s="31">
        <f>H544</f>
        <v>18299.98</v>
      </c>
      <c r="I543" s="31">
        <f t="shared" si="55"/>
        <v>97.340319148936175</v>
      </c>
    </row>
    <row r="544" spans="1:9" ht="15" customHeight="1" x14ac:dyDescent="0.2">
      <c r="A544" s="68" t="s">
        <v>176</v>
      </c>
      <c r="B544" s="22" t="s">
        <v>221</v>
      </c>
      <c r="C544" s="22" t="s">
        <v>542</v>
      </c>
      <c r="D544" s="22" t="s">
        <v>591</v>
      </c>
      <c r="E544" s="22" t="s">
        <v>46</v>
      </c>
      <c r="F544" s="22" t="s">
        <v>177</v>
      </c>
      <c r="G544" s="31">
        <f>23000-4200</f>
        <v>18800</v>
      </c>
      <c r="H544" s="31">
        <v>18299.98</v>
      </c>
      <c r="I544" s="31">
        <f t="shared" si="55"/>
        <v>97.340319148936175</v>
      </c>
    </row>
    <row r="545" spans="1:9" ht="24" x14ac:dyDescent="0.2">
      <c r="A545" s="64" t="s">
        <v>340</v>
      </c>
      <c r="B545" s="16" t="s">
        <v>221</v>
      </c>
      <c r="C545" s="16" t="s">
        <v>542</v>
      </c>
      <c r="D545" s="16" t="s">
        <v>591</v>
      </c>
      <c r="E545" s="16" t="s">
        <v>48</v>
      </c>
      <c r="F545" s="16"/>
      <c r="G545" s="32">
        <f>G546</f>
        <v>171000</v>
      </c>
      <c r="H545" s="32">
        <f>H546</f>
        <v>166108.90700000001</v>
      </c>
      <c r="I545" s="32">
        <f t="shared" ref="I545:I576" si="56">H545/G545*100</f>
        <v>97.139711695906442</v>
      </c>
    </row>
    <row r="546" spans="1:9" ht="24" x14ac:dyDescent="0.2">
      <c r="A546" s="68" t="s">
        <v>191</v>
      </c>
      <c r="B546" s="22" t="s">
        <v>221</v>
      </c>
      <c r="C546" s="22" t="s">
        <v>542</v>
      </c>
      <c r="D546" s="22" t="s">
        <v>591</v>
      </c>
      <c r="E546" s="22" t="s">
        <v>48</v>
      </c>
      <c r="F546" s="22" t="s">
        <v>522</v>
      </c>
      <c r="G546" s="31">
        <f>G547</f>
        <v>171000</v>
      </c>
      <c r="H546" s="31">
        <f>H547</f>
        <v>166108.90700000001</v>
      </c>
      <c r="I546" s="31">
        <f t="shared" si="56"/>
        <v>97.139711695906442</v>
      </c>
    </row>
    <row r="547" spans="1:9" x14ac:dyDescent="0.2">
      <c r="A547" s="68" t="s">
        <v>192</v>
      </c>
      <c r="B547" s="22" t="s">
        <v>221</v>
      </c>
      <c r="C547" s="22" t="s">
        <v>542</v>
      </c>
      <c r="D547" s="22" t="s">
        <v>591</v>
      </c>
      <c r="E547" s="22" t="s">
        <v>48</v>
      </c>
      <c r="F547" s="22" t="s">
        <v>536</v>
      </c>
      <c r="G547" s="31">
        <f>155000+6600+400+9000</f>
        <v>171000</v>
      </c>
      <c r="H547" s="31">
        <v>166108.90700000001</v>
      </c>
      <c r="I547" s="31">
        <f t="shared" si="56"/>
        <v>97.139711695906442</v>
      </c>
    </row>
    <row r="548" spans="1:9" ht="13.5" customHeight="1" x14ac:dyDescent="0.2">
      <c r="A548" s="64" t="s">
        <v>328</v>
      </c>
      <c r="B548" s="16" t="s">
        <v>221</v>
      </c>
      <c r="C548" s="16" t="s">
        <v>542</v>
      </c>
      <c r="D548" s="16" t="s">
        <v>591</v>
      </c>
      <c r="E548" s="16" t="s">
        <v>27</v>
      </c>
      <c r="F548" s="16"/>
      <c r="G548" s="95">
        <f>G549</f>
        <v>59447.4</v>
      </c>
      <c r="H548" s="95">
        <f>H549</f>
        <v>59364.076000000001</v>
      </c>
      <c r="I548" s="32">
        <f t="shared" si="56"/>
        <v>99.859835753960652</v>
      </c>
    </row>
    <row r="549" spans="1:9" x14ac:dyDescent="0.2">
      <c r="A549" s="68" t="s">
        <v>378</v>
      </c>
      <c r="B549" s="22" t="s">
        <v>221</v>
      </c>
      <c r="C549" s="22" t="s">
        <v>542</v>
      </c>
      <c r="D549" s="22" t="s">
        <v>591</v>
      </c>
      <c r="E549" s="22" t="s">
        <v>27</v>
      </c>
      <c r="F549" s="22" t="s">
        <v>175</v>
      </c>
      <c r="G549" s="96">
        <f>G550</f>
        <v>59447.4</v>
      </c>
      <c r="H549" s="96">
        <f>H550</f>
        <v>59364.076000000001</v>
      </c>
      <c r="I549" s="31">
        <f t="shared" si="56"/>
        <v>99.859835753960652</v>
      </c>
    </row>
    <row r="550" spans="1:9" ht="15" customHeight="1" x14ac:dyDescent="0.2">
      <c r="A550" s="68" t="s">
        <v>176</v>
      </c>
      <c r="B550" s="22" t="s">
        <v>221</v>
      </c>
      <c r="C550" s="22" t="s">
        <v>542</v>
      </c>
      <c r="D550" s="22" t="s">
        <v>591</v>
      </c>
      <c r="E550" s="22" t="s">
        <v>27</v>
      </c>
      <c r="F550" s="22" t="s">
        <v>177</v>
      </c>
      <c r="G550" s="96">
        <f>59000+3000+2937.4-1000-4490</f>
        <v>59447.4</v>
      </c>
      <c r="H550" s="96">
        <v>59364.076000000001</v>
      </c>
      <c r="I550" s="31">
        <f t="shared" si="56"/>
        <v>99.859835753960652</v>
      </c>
    </row>
    <row r="551" spans="1:9" ht="27" x14ac:dyDescent="0.2">
      <c r="A551" s="70" t="s">
        <v>11</v>
      </c>
      <c r="B551" s="43" t="s">
        <v>221</v>
      </c>
      <c r="C551" s="43" t="s">
        <v>542</v>
      </c>
      <c r="D551" s="43" t="s">
        <v>591</v>
      </c>
      <c r="E551" s="77" t="s">
        <v>12</v>
      </c>
      <c r="F551" s="43"/>
      <c r="G551" s="99">
        <f>G552+G555</f>
        <v>170633.54</v>
      </c>
      <c r="H551" s="99">
        <f>H552+H555</f>
        <v>170633.54</v>
      </c>
      <c r="I551" s="47">
        <f t="shared" si="56"/>
        <v>100</v>
      </c>
    </row>
    <row r="552" spans="1:9" x14ac:dyDescent="0.2">
      <c r="A552" s="64" t="s">
        <v>259</v>
      </c>
      <c r="B552" s="16" t="s">
        <v>221</v>
      </c>
      <c r="C552" s="16" t="s">
        <v>542</v>
      </c>
      <c r="D552" s="16" t="s">
        <v>591</v>
      </c>
      <c r="E552" s="33" t="s">
        <v>238</v>
      </c>
      <c r="F552" s="16"/>
      <c r="G552" s="95">
        <f>G553</f>
        <v>159511.54</v>
      </c>
      <c r="H552" s="95">
        <f>H553</f>
        <v>159511.54</v>
      </c>
      <c r="I552" s="32">
        <f t="shared" si="56"/>
        <v>100</v>
      </c>
    </row>
    <row r="553" spans="1:9" x14ac:dyDescent="0.2">
      <c r="A553" s="68" t="s">
        <v>378</v>
      </c>
      <c r="B553" s="22" t="s">
        <v>221</v>
      </c>
      <c r="C553" s="22" t="s">
        <v>542</v>
      </c>
      <c r="D553" s="22" t="s">
        <v>591</v>
      </c>
      <c r="E553" s="30" t="s">
        <v>238</v>
      </c>
      <c r="F553" s="22" t="s">
        <v>175</v>
      </c>
      <c r="G553" s="96">
        <f>G554</f>
        <v>159511.54</v>
      </c>
      <c r="H553" s="96">
        <f>H554</f>
        <v>159511.54</v>
      </c>
      <c r="I553" s="31">
        <f t="shared" si="56"/>
        <v>100</v>
      </c>
    </row>
    <row r="554" spans="1:9" ht="15" customHeight="1" x14ac:dyDescent="0.2">
      <c r="A554" s="68" t="s">
        <v>176</v>
      </c>
      <c r="B554" s="22" t="s">
        <v>221</v>
      </c>
      <c r="C554" s="22" t="s">
        <v>542</v>
      </c>
      <c r="D554" s="22" t="s">
        <v>591</v>
      </c>
      <c r="E554" s="30" t="s">
        <v>238</v>
      </c>
      <c r="F554" s="22" t="s">
        <v>177</v>
      </c>
      <c r="G554" s="96">
        <f>158816+695.54</f>
        <v>159511.54</v>
      </c>
      <c r="H554" s="96">
        <v>159511.54</v>
      </c>
      <c r="I554" s="31">
        <f t="shared" si="56"/>
        <v>100</v>
      </c>
    </row>
    <row r="555" spans="1:9" ht="15" customHeight="1" x14ac:dyDescent="0.2">
      <c r="A555" s="64" t="s">
        <v>122</v>
      </c>
      <c r="B555" s="16" t="s">
        <v>221</v>
      </c>
      <c r="C555" s="16" t="s">
        <v>542</v>
      </c>
      <c r="D555" s="16" t="s">
        <v>591</v>
      </c>
      <c r="E555" s="33" t="s">
        <v>70</v>
      </c>
      <c r="F555" s="16"/>
      <c r="G555" s="95">
        <f>G556</f>
        <v>11122</v>
      </c>
      <c r="H555" s="95">
        <f>H556</f>
        <v>11122</v>
      </c>
      <c r="I555" s="32">
        <f t="shared" si="56"/>
        <v>100</v>
      </c>
    </row>
    <row r="556" spans="1:9" ht="15" customHeight="1" x14ac:dyDescent="0.2">
      <c r="A556" s="68" t="s">
        <v>378</v>
      </c>
      <c r="B556" s="22" t="s">
        <v>221</v>
      </c>
      <c r="C556" s="22" t="s">
        <v>542</v>
      </c>
      <c r="D556" s="22" t="s">
        <v>591</v>
      </c>
      <c r="E556" s="30" t="s">
        <v>70</v>
      </c>
      <c r="F556" s="22" t="s">
        <v>175</v>
      </c>
      <c r="G556" s="96">
        <f>G557</f>
        <v>11122</v>
      </c>
      <c r="H556" s="96">
        <f>H557</f>
        <v>11122</v>
      </c>
      <c r="I556" s="31">
        <f t="shared" si="56"/>
        <v>100</v>
      </c>
    </row>
    <row r="557" spans="1:9" ht="15" customHeight="1" x14ac:dyDescent="0.2">
      <c r="A557" s="68" t="s">
        <v>176</v>
      </c>
      <c r="B557" s="22" t="s">
        <v>221</v>
      </c>
      <c r="C557" s="22" t="s">
        <v>542</v>
      </c>
      <c r="D557" s="22" t="s">
        <v>591</v>
      </c>
      <c r="E557" s="30" t="s">
        <v>70</v>
      </c>
      <c r="F557" s="22" t="s">
        <v>177</v>
      </c>
      <c r="G557" s="96">
        <f>7000+4122</f>
        <v>11122</v>
      </c>
      <c r="H557" s="96">
        <v>11122</v>
      </c>
      <c r="I557" s="31">
        <f t="shared" si="56"/>
        <v>100</v>
      </c>
    </row>
    <row r="558" spans="1:9" x14ac:dyDescent="0.2">
      <c r="A558" s="64" t="s">
        <v>492</v>
      </c>
      <c r="B558" s="16" t="s">
        <v>221</v>
      </c>
      <c r="C558" s="16" t="s">
        <v>542</v>
      </c>
      <c r="D558" s="16" t="s">
        <v>542</v>
      </c>
      <c r="E558" s="16"/>
      <c r="F558" s="16"/>
      <c r="G558" s="32">
        <f>+G570+G559</f>
        <v>6663.5630000000001</v>
      </c>
      <c r="H558" s="32">
        <f>+H570+H559</f>
        <v>6395.3536999999997</v>
      </c>
      <c r="I558" s="32">
        <f t="shared" si="56"/>
        <v>95.974986655037242</v>
      </c>
    </row>
    <row r="559" spans="1:9" ht="27" x14ac:dyDescent="0.2">
      <c r="A559" s="70" t="s">
        <v>348</v>
      </c>
      <c r="B559" s="43" t="s">
        <v>221</v>
      </c>
      <c r="C559" s="43" t="s">
        <v>542</v>
      </c>
      <c r="D559" s="43" t="s">
        <v>542</v>
      </c>
      <c r="E559" s="43" t="s">
        <v>335</v>
      </c>
      <c r="F559" s="43"/>
      <c r="G559" s="47">
        <f>G560</f>
        <v>6546</v>
      </c>
      <c r="H559" s="47">
        <f>H560</f>
        <v>6277.7906999999996</v>
      </c>
      <c r="I559" s="35">
        <f t="shared" si="56"/>
        <v>95.902699358386784</v>
      </c>
    </row>
    <row r="560" spans="1:9" ht="24" x14ac:dyDescent="0.2">
      <c r="A560" s="66" t="s">
        <v>432</v>
      </c>
      <c r="B560" s="16" t="s">
        <v>221</v>
      </c>
      <c r="C560" s="16" t="s">
        <v>542</v>
      </c>
      <c r="D560" s="16" t="s">
        <v>542</v>
      </c>
      <c r="E560" s="16" t="s">
        <v>335</v>
      </c>
      <c r="F560" s="16"/>
      <c r="G560" s="32">
        <f>G561</f>
        <v>6546</v>
      </c>
      <c r="H560" s="32">
        <f>H561</f>
        <v>6277.7906999999996</v>
      </c>
      <c r="I560" s="32">
        <f t="shared" si="56"/>
        <v>95.902699358386784</v>
      </c>
    </row>
    <row r="561" spans="1:9" ht="24" x14ac:dyDescent="0.2">
      <c r="A561" s="67" t="s">
        <v>524</v>
      </c>
      <c r="B561" s="17" t="s">
        <v>221</v>
      </c>
      <c r="C561" s="17" t="s">
        <v>542</v>
      </c>
      <c r="D561" s="17" t="s">
        <v>542</v>
      </c>
      <c r="E561" s="17" t="s">
        <v>335</v>
      </c>
      <c r="F561" s="17"/>
      <c r="G561" s="35">
        <f>G562+G565</f>
        <v>6546</v>
      </c>
      <c r="H561" s="35">
        <f>H562+H565</f>
        <v>6277.7906999999996</v>
      </c>
      <c r="I561" s="35">
        <f t="shared" si="56"/>
        <v>95.902699358386784</v>
      </c>
    </row>
    <row r="562" spans="1:9" x14ac:dyDescent="0.2">
      <c r="A562" s="66" t="s">
        <v>505</v>
      </c>
      <c r="B562" s="16" t="s">
        <v>221</v>
      </c>
      <c r="C562" s="16" t="s">
        <v>542</v>
      </c>
      <c r="D562" s="16" t="s">
        <v>542</v>
      </c>
      <c r="E562" s="16" t="s">
        <v>433</v>
      </c>
      <c r="F562" s="16"/>
      <c r="G562" s="32">
        <f>G563</f>
        <v>6153</v>
      </c>
      <c r="H562" s="32">
        <f>H563</f>
        <v>6095.317</v>
      </c>
      <c r="I562" s="32">
        <f t="shared" si="56"/>
        <v>99.062522346822689</v>
      </c>
    </row>
    <row r="563" spans="1:9" ht="36" x14ac:dyDescent="0.2">
      <c r="A563" s="68" t="s">
        <v>168</v>
      </c>
      <c r="B563" s="22" t="s">
        <v>221</v>
      </c>
      <c r="C563" s="22" t="s">
        <v>542</v>
      </c>
      <c r="D563" s="22" t="s">
        <v>542</v>
      </c>
      <c r="E563" s="22" t="s">
        <v>433</v>
      </c>
      <c r="F563" s="22" t="s">
        <v>169</v>
      </c>
      <c r="G563" s="31">
        <f>G564</f>
        <v>6153</v>
      </c>
      <c r="H563" s="31">
        <f>H564</f>
        <v>6095.317</v>
      </c>
      <c r="I563" s="31">
        <f t="shared" si="56"/>
        <v>99.062522346822689</v>
      </c>
    </row>
    <row r="564" spans="1:9" x14ac:dyDescent="0.2">
      <c r="A564" s="68" t="s">
        <v>170</v>
      </c>
      <c r="B564" s="22" t="s">
        <v>221</v>
      </c>
      <c r="C564" s="22" t="s">
        <v>542</v>
      </c>
      <c r="D564" s="22" t="s">
        <v>542</v>
      </c>
      <c r="E564" s="22" t="s">
        <v>433</v>
      </c>
      <c r="F564" s="22" t="s">
        <v>173</v>
      </c>
      <c r="G564" s="31">
        <f>4726+1427</f>
        <v>6153</v>
      </c>
      <c r="H564" s="31">
        <v>6095.317</v>
      </c>
      <c r="I564" s="31">
        <f t="shared" si="56"/>
        <v>99.062522346822689</v>
      </c>
    </row>
    <row r="565" spans="1:9" x14ac:dyDescent="0.2">
      <c r="A565" s="64" t="s">
        <v>174</v>
      </c>
      <c r="B565" s="16" t="s">
        <v>221</v>
      </c>
      <c r="C565" s="16" t="s">
        <v>542</v>
      </c>
      <c r="D565" s="16" t="s">
        <v>542</v>
      </c>
      <c r="E565" s="16" t="s">
        <v>434</v>
      </c>
      <c r="F565" s="16"/>
      <c r="G565" s="32">
        <f>G566+G568</f>
        <v>393</v>
      </c>
      <c r="H565" s="32">
        <f>H566+H568</f>
        <v>182.47370000000001</v>
      </c>
      <c r="I565" s="32">
        <f t="shared" si="56"/>
        <v>46.430966921119591</v>
      </c>
    </row>
    <row r="566" spans="1:9" x14ac:dyDescent="0.2">
      <c r="A566" s="68" t="s">
        <v>378</v>
      </c>
      <c r="B566" s="22" t="s">
        <v>221</v>
      </c>
      <c r="C566" s="22" t="s">
        <v>542</v>
      </c>
      <c r="D566" s="22" t="s">
        <v>542</v>
      </c>
      <c r="E566" s="22" t="s">
        <v>434</v>
      </c>
      <c r="F566" s="22" t="s">
        <v>175</v>
      </c>
      <c r="G566" s="31">
        <f>G567</f>
        <v>390</v>
      </c>
      <c r="H566" s="31">
        <f>H567</f>
        <v>181.89400000000001</v>
      </c>
      <c r="I566" s="31">
        <f t="shared" si="56"/>
        <v>46.639487179487183</v>
      </c>
    </row>
    <row r="567" spans="1:9" ht="15" customHeight="1" x14ac:dyDescent="0.2">
      <c r="A567" s="68" t="s">
        <v>176</v>
      </c>
      <c r="B567" s="22" t="s">
        <v>221</v>
      </c>
      <c r="C567" s="22" t="s">
        <v>542</v>
      </c>
      <c r="D567" s="22" t="s">
        <v>542</v>
      </c>
      <c r="E567" s="22" t="s">
        <v>434</v>
      </c>
      <c r="F567" s="22" t="s">
        <v>177</v>
      </c>
      <c r="G567" s="31">
        <f>190+200</f>
        <v>390</v>
      </c>
      <c r="H567" s="31">
        <v>181.89400000000001</v>
      </c>
      <c r="I567" s="31">
        <f t="shared" si="56"/>
        <v>46.639487179487183</v>
      </c>
    </row>
    <row r="568" spans="1:9" x14ac:dyDescent="0.2">
      <c r="A568" s="68" t="s">
        <v>178</v>
      </c>
      <c r="B568" s="22" t="s">
        <v>221</v>
      </c>
      <c r="C568" s="22" t="s">
        <v>542</v>
      </c>
      <c r="D568" s="22" t="s">
        <v>542</v>
      </c>
      <c r="E568" s="22" t="s">
        <v>434</v>
      </c>
      <c r="F568" s="22" t="s">
        <v>179</v>
      </c>
      <c r="G568" s="31">
        <f>G569</f>
        <v>3</v>
      </c>
      <c r="H568" s="31">
        <f>H569</f>
        <v>0.57969999999999999</v>
      </c>
      <c r="I568" s="31">
        <f t="shared" si="56"/>
        <v>19.323333333333334</v>
      </c>
    </row>
    <row r="569" spans="1:9" x14ac:dyDescent="0.2">
      <c r="A569" s="68" t="s">
        <v>87</v>
      </c>
      <c r="B569" s="22" t="s">
        <v>221</v>
      </c>
      <c r="C569" s="22" t="s">
        <v>542</v>
      </c>
      <c r="D569" s="22" t="s">
        <v>542</v>
      </c>
      <c r="E569" s="22" t="s">
        <v>434</v>
      </c>
      <c r="F569" s="22" t="s">
        <v>180</v>
      </c>
      <c r="G569" s="31">
        <v>3</v>
      </c>
      <c r="H569" s="31">
        <v>0.57969999999999999</v>
      </c>
      <c r="I569" s="31">
        <f t="shared" si="56"/>
        <v>19.323333333333334</v>
      </c>
    </row>
    <row r="570" spans="1:9" x14ac:dyDescent="0.2">
      <c r="A570" s="66" t="s">
        <v>163</v>
      </c>
      <c r="B570" s="16" t="s">
        <v>221</v>
      </c>
      <c r="C570" s="16" t="s">
        <v>542</v>
      </c>
      <c r="D570" s="16" t="s">
        <v>542</v>
      </c>
      <c r="E570" s="16" t="s">
        <v>293</v>
      </c>
      <c r="F570" s="16"/>
      <c r="G570" s="32">
        <f t="shared" ref="G570:H573" si="57">G571</f>
        <v>117.563</v>
      </c>
      <c r="H570" s="32">
        <f t="shared" si="57"/>
        <v>117.563</v>
      </c>
      <c r="I570" s="32">
        <f t="shared" si="56"/>
        <v>100</v>
      </c>
    </row>
    <row r="571" spans="1:9" x14ac:dyDescent="0.2">
      <c r="A571" s="66" t="s">
        <v>381</v>
      </c>
      <c r="B571" s="16" t="s">
        <v>221</v>
      </c>
      <c r="C571" s="16" t="s">
        <v>542</v>
      </c>
      <c r="D571" s="16" t="s">
        <v>542</v>
      </c>
      <c r="E571" s="16" t="s">
        <v>294</v>
      </c>
      <c r="F571" s="16"/>
      <c r="G571" s="32">
        <f t="shared" si="57"/>
        <v>117.563</v>
      </c>
      <c r="H571" s="32">
        <f t="shared" si="57"/>
        <v>117.563</v>
      </c>
      <c r="I571" s="32">
        <f t="shared" si="56"/>
        <v>100</v>
      </c>
    </row>
    <row r="572" spans="1:9" ht="24" x14ac:dyDescent="0.2">
      <c r="A572" s="64" t="s">
        <v>632</v>
      </c>
      <c r="B572" s="16" t="s">
        <v>221</v>
      </c>
      <c r="C572" s="16" t="s">
        <v>542</v>
      </c>
      <c r="D572" s="16" t="s">
        <v>542</v>
      </c>
      <c r="E572" s="16" t="s">
        <v>633</v>
      </c>
      <c r="F572" s="16"/>
      <c r="G572" s="32">
        <f t="shared" si="57"/>
        <v>117.563</v>
      </c>
      <c r="H572" s="32">
        <f t="shared" si="57"/>
        <v>117.563</v>
      </c>
      <c r="I572" s="32">
        <f t="shared" si="56"/>
        <v>100</v>
      </c>
    </row>
    <row r="573" spans="1:9" ht="36" x14ac:dyDescent="0.2">
      <c r="A573" s="68" t="s">
        <v>168</v>
      </c>
      <c r="B573" s="22" t="s">
        <v>221</v>
      </c>
      <c r="C573" s="22" t="s">
        <v>542</v>
      </c>
      <c r="D573" s="22" t="s">
        <v>542</v>
      </c>
      <c r="E573" s="22" t="s">
        <v>633</v>
      </c>
      <c r="F573" s="22" t="s">
        <v>169</v>
      </c>
      <c r="G573" s="31">
        <f t="shared" si="57"/>
        <v>117.563</v>
      </c>
      <c r="H573" s="31">
        <f t="shared" si="57"/>
        <v>117.563</v>
      </c>
      <c r="I573" s="31">
        <f t="shared" si="56"/>
        <v>100</v>
      </c>
    </row>
    <row r="574" spans="1:9" x14ac:dyDescent="0.2">
      <c r="A574" s="68" t="s">
        <v>170</v>
      </c>
      <c r="B574" s="22" t="s">
        <v>221</v>
      </c>
      <c r="C574" s="22" t="s">
        <v>542</v>
      </c>
      <c r="D574" s="22" t="s">
        <v>542</v>
      </c>
      <c r="E574" s="22" t="s">
        <v>633</v>
      </c>
      <c r="F574" s="22" t="s">
        <v>173</v>
      </c>
      <c r="G574" s="31">
        <v>117.563</v>
      </c>
      <c r="H574" s="31">
        <v>117.563</v>
      </c>
      <c r="I574" s="31">
        <f t="shared" si="56"/>
        <v>100</v>
      </c>
    </row>
    <row r="575" spans="1:9" ht="31.5" x14ac:dyDescent="0.2">
      <c r="A575" s="63" t="s">
        <v>525</v>
      </c>
      <c r="B575" s="36" t="s">
        <v>526</v>
      </c>
      <c r="C575" s="37"/>
      <c r="D575" s="37"/>
      <c r="E575" s="37"/>
      <c r="F575" s="37"/>
      <c r="G575" s="86">
        <f>G582+G597+G665+G696+G659+G576+G690</f>
        <v>273823.74278999999</v>
      </c>
      <c r="H575" s="86">
        <f>H582+H597+H665+H696+H659+H576+H690</f>
        <v>211495.77364</v>
      </c>
      <c r="I575" s="86">
        <f t="shared" si="56"/>
        <v>77.237923740674177</v>
      </c>
    </row>
    <row r="576" spans="1:9" x14ac:dyDescent="0.2">
      <c r="A576" s="64" t="s">
        <v>198</v>
      </c>
      <c r="B576" s="16" t="s">
        <v>526</v>
      </c>
      <c r="C576" s="16" t="s">
        <v>165</v>
      </c>
      <c r="D576" s="16" t="s">
        <v>166</v>
      </c>
      <c r="E576" s="16"/>
      <c r="F576" s="16"/>
      <c r="G576" s="32">
        <f t="shared" ref="G576:H580" si="58">G577</f>
        <v>3.4039600000000001</v>
      </c>
      <c r="H576" s="32">
        <f t="shared" si="58"/>
        <v>3.403</v>
      </c>
      <c r="I576" s="32">
        <f t="shared" si="56"/>
        <v>99.971797553437753</v>
      </c>
    </row>
    <row r="577" spans="1:9" x14ac:dyDescent="0.2">
      <c r="A577" s="64" t="s">
        <v>405</v>
      </c>
      <c r="B577" s="16" t="s">
        <v>526</v>
      </c>
      <c r="C577" s="16" t="s">
        <v>165</v>
      </c>
      <c r="D577" s="16" t="s">
        <v>184</v>
      </c>
      <c r="E577" s="16"/>
      <c r="F577" s="16"/>
      <c r="G577" s="32">
        <f t="shared" si="58"/>
        <v>3.4039600000000001</v>
      </c>
      <c r="H577" s="32">
        <f t="shared" si="58"/>
        <v>3.403</v>
      </c>
      <c r="I577" s="32">
        <f t="shared" ref="I577:I608" si="59">H577/G577*100</f>
        <v>99.971797553437753</v>
      </c>
    </row>
    <row r="578" spans="1:9" x14ac:dyDescent="0.2">
      <c r="A578" s="64" t="s">
        <v>381</v>
      </c>
      <c r="B578" s="16" t="s">
        <v>526</v>
      </c>
      <c r="C578" s="16" t="s">
        <v>165</v>
      </c>
      <c r="D578" s="16" t="s">
        <v>184</v>
      </c>
      <c r="E578" s="33" t="s">
        <v>294</v>
      </c>
      <c r="F578" s="16"/>
      <c r="G578" s="32">
        <f t="shared" si="58"/>
        <v>3.4039600000000001</v>
      </c>
      <c r="H578" s="32">
        <f t="shared" si="58"/>
        <v>3.403</v>
      </c>
      <c r="I578" s="32">
        <f t="shared" si="59"/>
        <v>99.971797553437753</v>
      </c>
    </row>
    <row r="579" spans="1:9" x14ac:dyDescent="0.2">
      <c r="A579" s="67" t="s">
        <v>406</v>
      </c>
      <c r="B579" s="17" t="s">
        <v>526</v>
      </c>
      <c r="C579" s="17" t="s">
        <v>165</v>
      </c>
      <c r="D579" s="17" t="s">
        <v>184</v>
      </c>
      <c r="E579" s="44" t="s">
        <v>104</v>
      </c>
      <c r="F579" s="17"/>
      <c r="G579" s="35">
        <f t="shared" si="58"/>
        <v>3.4039600000000001</v>
      </c>
      <c r="H579" s="35">
        <f t="shared" si="58"/>
        <v>3.403</v>
      </c>
      <c r="I579" s="35">
        <f t="shared" si="59"/>
        <v>99.971797553437753</v>
      </c>
    </row>
    <row r="580" spans="1:9" x14ac:dyDescent="0.2">
      <c r="A580" s="68" t="s">
        <v>178</v>
      </c>
      <c r="B580" s="22" t="s">
        <v>526</v>
      </c>
      <c r="C580" s="22" t="s">
        <v>165</v>
      </c>
      <c r="D580" s="22" t="s">
        <v>184</v>
      </c>
      <c r="E580" s="30" t="s">
        <v>104</v>
      </c>
      <c r="F580" s="22" t="s">
        <v>179</v>
      </c>
      <c r="G580" s="31">
        <f t="shared" si="58"/>
        <v>3.4039600000000001</v>
      </c>
      <c r="H580" s="31">
        <f t="shared" si="58"/>
        <v>3.403</v>
      </c>
      <c r="I580" s="31">
        <f t="shared" si="59"/>
        <v>99.971797553437753</v>
      </c>
    </row>
    <row r="581" spans="1:9" x14ac:dyDescent="0.2">
      <c r="A581" s="68" t="s">
        <v>228</v>
      </c>
      <c r="B581" s="22" t="s">
        <v>526</v>
      </c>
      <c r="C581" s="22" t="s">
        <v>165</v>
      </c>
      <c r="D581" s="22" t="s">
        <v>184</v>
      </c>
      <c r="E581" s="30" t="s">
        <v>104</v>
      </c>
      <c r="F581" s="22" t="s">
        <v>232</v>
      </c>
      <c r="G581" s="31">
        <f>2.69295+0.71101</f>
        <v>3.4039600000000001</v>
      </c>
      <c r="H581" s="31">
        <v>3.403</v>
      </c>
      <c r="I581" s="31">
        <f t="shared" si="59"/>
        <v>99.971797553437753</v>
      </c>
    </row>
    <row r="582" spans="1:9" x14ac:dyDescent="0.2">
      <c r="A582" s="64" t="s">
        <v>475</v>
      </c>
      <c r="B582" s="16" t="s">
        <v>526</v>
      </c>
      <c r="C582" s="16" t="s">
        <v>167</v>
      </c>
      <c r="D582" s="16" t="s">
        <v>166</v>
      </c>
      <c r="E582" s="16"/>
      <c r="F582" s="16"/>
      <c r="G582" s="32">
        <f>G583</f>
        <v>11640.841</v>
      </c>
      <c r="H582" s="32">
        <f>H583</f>
        <v>11639.274000000001</v>
      </c>
      <c r="I582" s="32">
        <f t="shared" si="59"/>
        <v>99.9865387732725</v>
      </c>
    </row>
    <row r="583" spans="1:9" x14ac:dyDescent="0.2">
      <c r="A583" s="64" t="s">
        <v>518</v>
      </c>
      <c r="B583" s="16" t="s">
        <v>526</v>
      </c>
      <c r="C583" s="16" t="s">
        <v>167</v>
      </c>
      <c r="D583" s="16" t="s">
        <v>597</v>
      </c>
      <c r="E583" s="25"/>
      <c r="F583" s="16"/>
      <c r="G583" s="32">
        <f>G584</f>
        <v>11640.841</v>
      </c>
      <c r="H583" s="32">
        <f>H584</f>
        <v>11639.274000000001</v>
      </c>
      <c r="I583" s="32">
        <f t="shared" si="59"/>
        <v>99.9865387732725</v>
      </c>
    </row>
    <row r="584" spans="1:9" ht="27" x14ac:dyDescent="0.2">
      <c r="A584" s="70" t="s">
        <v>439</v>
      </c>
      <c r="B584" s="43" t="s">
        <v>526</v>
      </c>
      <c r="C584" s="43" t="s">
        <v>167</v>
      </c>
      <c r="D584" s="43" t="s">
        <v>597</v>
      </c>
      <c r="E584" s="43" t="s">
        <v>353</v>
      </c>
      <c r="F584" s="43"/>
      <c r="G584" s="47">
        <f>G585+G588+G591+G594</f>
        <v>11640.841</v>
      </c>
      <c r="H584" s="47">
        <f>H585+H588+H591+H594</f>
        <v>11639.274000000001</v>
      </c>
      <c r="I584" s="47">
        <f t="shared" si="59"/>
        <v>99.9865387732725</v>
      </c>
    </row>
    <row r="585" spans="1:9" x14ac:dyDescent="0.2">
      <c r="A585" s="64" t="s">
        <v>306</v>
      </c>
      <c r="B585" s="16" t="s">
        <v>526</v>
      </c>
      <c r="C585" s="16" t="s">
        <v>167</v>
      </c>
      <c r="D585" s="16" t="s">
        <v>597</v>
      </c>
      <c r="E585" s="16" t="s">
        <v>614</v>
      </c>
      <c r="F585" s="16"/>
      <c r="G585" s="32">
        <f>G586</f>
        <v>6800</v>
      </c>
      <c r="H585" s="32">
        <f>H586</f>
        <v>6799.884</v>
      </c>
      <c r="I585" s="32">
        <f t="shared" si="59"/>
        <v>99.998294117647063</v>
      </c>
    </row>
    <row r="586" spans="1:9" x14ac:dyDescent="0.2">
      <c r="A586" s="68" t="s">
        <v>378</v>
      </c>
      <c r="B586" s="22" t="s">
        <v>526</v>
      </c>
      <c r="C586" s="22" t="s">
        <v>167</v>
      </c>
      <c r="D586" s="22" t="s">
        <v>597</v>
      </c>
      <c r="E586" s="22" t="s">
        <v>614</v>
      </c>
      <c r="F586" s="22" t="s">
        <v>175</v>
      </c>
      <c r="G586" s="31">
        <f>G587</f>
        <v>6800</v>
      </c>
      <c r="H586" s="31">
        <f>H587</f>
        <v>6799.884</v>
      </c>
      <c r="I586" s="31">
        <f t="shared" si="59"/>
        <v>99.998294117647063</v>
      </c>
    </row>
    <row r="587" spans="1:9" ht="15" customHeight="1" x14ac:dyDescent="0.2">
      <c r="A587" s="68" t="s">
        <v>176</v>
      </c>
      <c r="B587" s="22" t="s">
        <v>526</v>
      </c>
      <c r="C587" s="22" t="s">
        <v>167</v>
      </c>
      <c r="D587" s="22" t="s">
        <v>597</v>
      </c>
      <c r="E587" s="22" t="s">
        <v>614</v>
      </c>
      <c r="F587" s="22" t="s">
        <v>177</v>
      </c>
      <c r="G587" s="31">
        <f>5500+1000+300</f>
        <v>6800</v>
      </c>
      <c r="H587" s="31">
        <v>6799.884</v>
      </c>
      <c r="I587" s="31">
        <f t="shared" si="59"/>
        <v>99.998294117647063</v>
      </c>
    </row>
    <row r="588" spans="1:9" x14ac:dyDescent="0.2">
      <c r="A588" s="64" t="s">
        <v>615</v>
      </c>
      <c r="B588" s="16" t="s">
        <v>526</v>
      </c>
      <c r="C588" s="16" t="s">
        <v>167</v>
      </c>
      <c r="D588" s="16" t="s">
        <v>597</v>
      </c>
      <c r="E588" s="16" t="s">
        <v>616</v>
      </c>
      <c r="F588" s="16"/>
      <c r="G588" s="32">
        <f>G589</f>
        <v>1938.0409999999999</v>
      </c>
      <c r="H588" s="32">
        <f>H589</f>
        <v>1938.0409999999999</v>
      </c>
      <c r="I588" s="32">
        <f t="shared" si="59"/>
        <v>100</v>
      </c>
    </row>
    <row r="589" spans="1:9" x14ac:dyDescent="0.2">
      <c r="A589" s="68" t="s">
        <v>378</v>
      </c>
      <c r="B589" s="22" t="s">
        <v>526</v>
      </c>
      <c r="C589" s="22" t="s">
        <v>167</v>
      </c>
      <c r="D589" s="22" t="s">
        <v>597</v>
      </c>
      <c r="E589" s="22" t="s">
        <v>616</v>
      </c>
      <c r="F589" s="22" t="s">
        <v>175</v>
      </c>
      <c r="G589" s="31">
        <f>G590</f>
        <v>1938.0409999999999</v>
      </c>
      <c r="H589" s="31">
        <f>H590</f>
        <v>1938.0409999999999</v>
      </c>
      <c r="I589" s="31">
        <f t="shared" si="59"/>
        <v>100</v>
      </c>
    </row>
    <row r="590" spans="1:9" ht="15" customHeight="1" x14ac:dyDescent="0.2">
      <c r="A590" s="68" t="s">
        <v>176</v>
      </c>
      <c r="B590" s="22" t="s">
        <v>526</v>
      </c>
      <c r="C590" s="22" t="s">
        <v>167</v>
      </c>
      <c r="D590" s="22" t="s">
        <v>597</v>
      </c>
      <c r="E590" s="22" t="s">
        <v>616</v>
      </c>
      <c r="F590" s="22" t="s">
        <v>177</v>
      </c>
      <c r="G590" s="31">
        <f>2000-61.959</f>
        <v>1938.0409999999999</v>
      </c>
      <c r="H590" s="31">
        <v>1938.0409999999999</v>
      </c>
      <c r="I590" s="31">
        <f t="shared" si="59"/>
        <v>100</v>
      </c>
    </row>
    <row r="591" spans="1:9" x14ac:dyDescent="0.2">
      <c r="A591" s="61" t="s">
        <v>217</v>
      </c>
      <c r="B591" s="16" t="s">
        <v>526</v>
      </c>
      <c r="C591" s="16" t="s">
        <v>167</v>
      </c>
      <c r="D591" s="16" t="s">
        <v>597</v>
      </c>
      <c r="E591" s="16" t="s">
        <v>617</v>
      </c>
      <c r="F591" s="16"/>
      <c r="G591" s="32">
        <f>G592</f>
        <v>100</v>
      </c>
      <c r="H591" s="32">
        <f>H592</f>
        <v>98.549000000000007</v>
      </c>
      <c r="I591" s="32">
        <f t="shared" si="59"/>
        <v>98.549000000000007</v>
      </c>
    </row>
    <row r="592" spans="1:9" x14ac:dyDescent="0.2">
      <c r="A592" s="68" t="s">
        <v>378</v>
      </c>
      <c r="B592" s="22" t="s">
        <v>526</v>
      </c>
      <c r="C592" s="22" t="s">
        <v>167</v>
      </c>
      <c r="D592" s="22" t="s">
        <v>597</v>
      </c>
      <c r="E592" s="22" t="s">
        <v>617</v>
      </c>
      <c r="F592" s="22" t="s">
        <v>175</v>
      </c>
      <c r="G592" s="31">
        <f>G593</f>
        <v>100</v>
      </c>
      <c r="H592" s="31">
        <f>H593</f>
        <v>98.549000000000007</v>
      </c>
      <c r="I592" s="31">
        <f t="shared" si="59"/>
        <v>98.549000000000007</v>
      </c>
    </row>
    <row r="593" spans="1:9" ht="15" customHeight="1" x14ac:dyDescent="0.2">
      <c r="A593" s="68" t="s">
        <v>176</v>
      </c>
      <c r="B593" s="22" t="s">
        <v>526</v>
      </c>
      <c r="C593" s="22" t="s">
        <v>167</v>
      </c>
      <c r="D593" s="22" t="s">
        <v>597</v>
      </c>
      <c r="E593" s="22" t="s">
        <v>617</v>
      </c>
      <c r="F593" s="22" t="s">
        <v>177</v>
      </c>
      <c r="G593" s="31">
        <v>100</v>
      </c>
      <c r="H593" s="31">
        <v>98.549000000000007</v>
      </c>
      <c r="I593" s="31">
        <f t="shared" si="59"/>
        <v>98.549000000000007</v>
      </c>
    </row>
    <row r="594" spans="1:9" x14ac:dyDescent="0.2">
      <c r="A594" s="64" t="s">
        <v>307</v>
      </c>
      <c r="B594" s="16" t="s">
        <v>526</v>
      </c>
      <c r="C594" s="16" t="s">
        <v>167</v>
      </c>
      <c r="D594" s="16" t="s">
        <v>597</v>
      </c>
      <c r="E594" s="16" t="s">
        <v>618</v>
      </c>
      <c r="F594" s="16"/>
      <c r="G594" s="113">
        <f>G595</f>
        <v>2802.8</v>
      </c>
      <c r="H594" s="113">
        <f>H595</f>
        <v>2802.8</v>
      </c>
      <c r="I594" s="32">
        <f t="shared" si="59"/>
        <v>100</v>
      </c>
    </row>
    <row r="595" spans="1:9" x14ac:dyDescent="0.2">
      <c r="A595" s="68" t="s">
        <v>378</v>
      </c>
      <c r="B595" s="22" t="s">
        <v>526</v>
      </c>
      <c r="C595" s="22" t="s">
        <v>167</v>
      </c>
      <c r="D595" s="22" t="s">
        <v>597</v>
      </c>
      <c r="E595" s="22" t="s">
        <v>618</v>
      </c>
      <c r="F595" s="22" t="s">
        <v>175</v>
      </c>
      <c r="G595" s="114">
        <f>G596</f>
        <v>2802.8</v>
      </c>
      <c r="H595" s="114">
        <f>H596</f>
        <v>2802.8</v>
      </c>
      <c r="I595" s="31">
        <f t="shared" si="59"/>
        <v>100</v>
      </c>
    </row>
    <row r="596" spans="1:9" ht="15" customHeight="1" x14ac:dyDescent="0.2">
      <c r="A596" s="68" t="s">
        <v>176</v>
      </c>
      <c r="B596" s="22" t="s">
        <v>526</v>
      </c>
      <c r="C596" s="22" t="s">
        <v>167</v>
      </c>
      <c r="D596" s="22" t="s">
        <v>597</v>
      </c>
      <c r="E596" s="22" t="s">
        <v>618</v>
      </c>
      <c r="F596" s="22" t="s">
        <v>177</v>
      </c>
      <c r="G596" s="114">
        <v>2802.8</v>
      </c>
      <c r="H596" s="114">
        <v>2802.8</v>
      </c>
      <c r="I596" s="31">
        <f t="shared" si="59"/>
        <v>100</v>
      </c>
    </row>
    <row r="597" spans="1:9" x14ac:dyDescent="0.2">
      <c r="A597" s="64" t="s">
        <v>487</v>
      </c>
      <c r="B597" s="16" t="s">
        <v>526</v>
      </c>
      <c r="C597" s="16" t="s">
        <v>542</v>
      </c>
      <c r="D597" s="16" t="s">
        <v>166</v>
      </c>
      <c r="E597" s="16"/>
      <c r="F597" s="16"/>
      <c r="G597" s="32">
        <f>G598+G615+G630+G644</f>
        <v>182376.98327</v>
      </c>
      <c r="H597" s="32">
        <f>H598+H615+H630+H644</f>
        <v>120100.80364</v>
      </c>
      <c r="I597" s="32">
        <f t="shared" si="59"/>
        <v>65.853048716238916</v>
      </c>
    </row>
    <row r="598" spans="1:9" x14ac:dyDescent="0.2">
      <c r="A598" s="64" t="s">
        <v>488</v>
      </c>
      <c r="B598" s="16" t="s">
        <v>526</v>
      </c>
      <c r="C598" s="16" t="s">
        <v>542</v>
      </c>
      <c r="D598" s="16" t="s">
        <v>165</v>
      </c>
      <c r="E598" s="16"/>
      <c r="F598" s="16"/>
      <c r="G598" s="32">
        <f>G599</f>
        <v>86373.950790000003</v>
      </c>
      <c r="H598" s="32">
        <f>H599</f>
        <v>29418.188000000002</v>
      </c>
      <c r="I598" s="32">
        <f t="shared" si="59"/>
        <v>34.059097367821124</v>
      </c>
    </row>
    <row r="599" spans="1:9" ht="27" x14ac:dyDescent="0.2">
      <c r="A599" s="70" t="s">
        <v>439</v>
      </c>
      <c r="B599" s="43" t="s">
        <v>526</v>
      </c>
      <c r="C599" s="43" t="s">
        <v>542</v>
      </c>
      <c r="D599" s="43" t="s">
        <v>165</v>
      </c>
      <c r="E599" s="43" t="s">
        <v>353</v>
      </c>
      <c r="F599" s="43"/>
      <c r="G599" s="47">
        <f>G609+G612+G606+G600+G603</f>
        <v>86373.950790000003</v>
      </c>
      <c r="H599" s="47">
        <f>H609+H612+H606+H600+H603</f>
        <v>29418.188000000002</v>
      </c>
      <c r="I599" s="47">
        <f t="shared" si="59"/>
        <v>34.059097367821124</v>
      </c>
    </row>
    <row r="600" spans="1:9" ht="67.5" x14ac:dyDescent="0.2">
      <c r="A600" s="115" t="s">
        <v>466</v>
      </c>
      <c r="B600" s="43" t="s">
        <v>526</v>
      </c>
      <c r="C600" s="43" t="s">
        <v>542</v>
      </c>
      <c r="D600" s="43" t="s">
        <v>165</v>
      </c>
      <c r="E600" s="43" t="s">
        <v>463</v>
      </c>
      <c r="F600" s="43"/>
      <c r="G600" s="47">
        <f>G601</f>
        <v>65994.8</v>
      </c>
      <c r="H600" s="47">
        <f>H601</f>
        <v>11823.643</v>
      </c>
      <c r="I600" s="47">
        <f t="shared" si="59"/>
        <v>17.91602217144381</v>
      </c>
    </row>
    <row r="601" spans="1:9" x14ac:dyDescent="0.2">
      <c r="A601" s="68" t="s">
        <v>305</v>
      </c>
      <c r="B601" s="22" t="s">
        <v>526</v>
      </c>
      <c r="C601" s="22" t="s">
        <v>542</v>
      </c>
      <c r="D601" s="22" t="s">
        <v>165</v>
      </c>
      <c r="E601" s="22" t="s">
        <v>463</v>
      </c>
      <c r="F601" s="22" t="s">
        <v>544</v>
      </c>
      <c r="G601" s="31">
        <f>G602</f>
        <v>65994.8</v>
      </c>
      <c r="H601" s="31">
        <f>H602</f>
        <v>11823.643</v>
      </c>
      <c r="I601" s="31">
        <f t="shared" si="59"/>
        <v>17.91602217144381</v>
      </c>
    </row>
    <row r="602" spans="1:9" x14ac:dyDescent="0.2">
      <c r="A602" s="68" t="s">
        <v>545</v>
      </c>
      <c r="B602" s="22" t="s">
        <v>526</v>
      </c>
      <c r="C602" s="22" t="s">
        <v>542</v>
      </c>
      <c r="D602" s="22" t="s">
        <v>165</v>
      </c>
      <c r="E602" s="22" t="s">
        <v>463</v>
      </c>
      <c r="F602" s="22" t="s">
        <v>546</v>
      </c>
      <c r="G602" s="31">
        <f>19798.44+46196.36</f>
        <v>65994.8</v>
      </c>
      <c r="H602" s="31">
        <v>11823.643</v>
      </c>
      <c r="I602" s="31">
        <f t="shared" si="59"/>
        <v>17.91602217144381</v>
      </c>
    </row>
    <row r="603" spans="1:9" ht="54" x14ac:dyDescent="0.2">
      <c r="A603" s="70" t="s">
        <v>464</v>
      </c>
      <c r="B603" s="43" t="s">
        <v>526</v>
      </c>
      <c r="C603" s="43" t="s">
        <v>542</v>
      </c>
      <c r="D603" s="43" t="s">
        <v>165</v>
      </c>
      <c r="E603" s="43" t="s">
        <v>465</v>
      </c>
      <c r="F603" s="43"/>
      <c r="G603" s="47">
        <f>G604</f>
        <v>3449.1507900000001</v>
      </c>
      <c r="H603" s="47">
        <f>H604</f>
        <v>690.06</v>
      </c>
      <c r="I603" s="35">
        <f t="shared" si="59"/>
        <v>20.006663727218488</v>
      </c>
    </row>
    <row r="604" spans="1:9" x14ac:dyDescent="0.2">
      <c r="A604" s="68" t="s">
        <v>305</v>
      </c>
      <c r="B604" s="22" t="s">
        <v>526</v>
      </c>
      <c r="C604" s="22" t="s">
        <v>542</v>
      </c>
      <c r="D604" s="22" t="s">
        <v>165</v>
      </c>
      <c r="E604" s="22" t="s">
        <v>465</v>
      </c>
      <c r="F604" s="22" t="s">
        <v>544</v>
      </c>
      <c r="G604" s="31">
        <f>G605</f>
        <v>3449.1507900000001</v>
      </c>
      <c r="H604" s="31">
        <f>H605</f>
        <v>690.06</v>
      </c>
      <c r="I604" s="31">
        <f t="shared" si="59"/>
        <v>20.006663727218488</v>
      </c>
    </row>
    <row r="605" spans="1:9" x14ac:dyDescent="0.2">
      <c r="A605" s="68" t="s">
        <v>545</v>
      </c>
      <c r="B605" s="22" t="s">
        <v>526</v>
      </c>
      <c r="C605" s="22" t="s">
        <v>542</v>
      </c>
      <c r="D605" s="22" t="s">
        <v>165</v>
      </c>
      <c r="E605" s="22" t="s">
        <v>465</v>
      </c>
      <c r="F605" s="22" t="s">
        <v>546</v>
      </c>
      <c r="G605" s="31">
        <f>700+2749.15079</f>
        <v>3449.1507900000001</v>
      </c>
      <c r="H605" s="31">
        <v>690.06</v>
      </c>
      <c r="I605" s="31">
        <f t="shared" si="59"/>
        <v>20.006663727218488</v>
      </c>
    </row>
    <row r="606" spans="1:9" ht="24" x14ac:dyDescent="0.2">
      <c r="A606" s="64" t="s">
        <v>457</v>
      </c>
      <c r="B606" s="16" t="s">
        <v>526</v>
      </c>
      <c r="C606" s="16" t="s">
        <v>542</v>
      </c>
      <c r="D606" s="16" t="s">
        <v>165</v>
      </c>
      <c r="E606" s="16" t="s">
        <v>458</v>
      </c>
      <c r="F606" s="16"/>
      <c r="G606" s="32">
        <f>G607</f>
        <v>8000</v>
      </c>
      <c r="H606" s="32">
        <f>H607</f>
        <v>8000</v>
      </c>
      <c r="I606" s="32">
        <f t="shared" si="59"/>
        <v>100</v>
      </c>
    </row>
    <row r="607" spans="1:9" x14ac:dyDescent="0.2">
      <c r="A607" s="68" t="s">
        <v>305</v>
      </c>
      <c r="B607" s="22" t="s">
        <v>526</v>
      </c>
      <c r="C607" s="22" t="s">
        <v>542</v>
      </c>
      <c r="D607" s="22" t="s">
        <v>165</v>
      </c>
      <c r="E607" s="22" t="s">
        <v>458</v>
      </c>
      <c r="F607" s="22" t="s">
        <v>544</v>
      </c>
      <c r="G607" s="31">
        <f>G608</f>
        <v>8000</v>
      </c>
      <c r="H607" s="31">
        <f>H608</f>
        <v>8000</v>
      </c>
      <c r="I607" s="31">
        <f t="shared" si="59"/>
        <v>100</v>
      </c>
    </row>
    <row r="608" spans="1:9" x14ac:dyDescent="0.2">
      <c r="A608" s="68" t="s">
        <v>545</v>
      </c>
      <c r="B608" s="22" t="s">
        <v>526</v>
      </c>
      <c r="C608" s="22" t="s">
        <v>542</v>
      </c>
      <c r="D608" s="22" t="s">
        <v>165</v>
      </c>
      <c r="E608" s="22" t="s">
        <v>458</v>
      </c>
      <c r="F608" s="22" t="s">
        <v>546</v>
      </c>
      <c r="G608" s="31">
        <f>4700+3300</f>
        <v>8000</v>
      </c>
      <c r="H608" s="31">
        <v>8000</v>
      </c>
      <c r="I608" s="31">
        <f t="shared" si="59"/>
        <v>100</v>
      </c>
    </row>
    <row r="609" spans="1:9" ht="24" x14ac:dyDescent="0.2">
      <c r="A609" s="64" t="s">
        <v>619</v>
      </c>
      <c r="B609" s="16" t="s">
        <v>526</v>
      </c>
      <c r="C609" s="16" t="s">
        <v>542</v>
      </c>
      <c r="D609" s="16" t="s">
        <v>165</v>
      </c>
      <c r="E609" s="16" t="s">
        <v>620</v>
      </c>
      <c r="F609" s="16"/>
      <c r="G609" s="95">
        <f>G610</f>
        <v>848</v>
      </c>
      <c r="H609" s="95">
        <f>H610</f>
        <v>847.53</v>
      </c>
      <c r="I609" s="32">
        <f t="shared" ref="I609:I640" si="60">H609/G609*100</f>
        <v>99.944575471698101</v>
      </c>
    </row>
    <row r="610" spans="1:9" x14ac:dyDescent="0.2">
      <c r="A610" s="68" t="s">
        <v>378</v>
      </c>
      <c r="B610" s="22" t="s">
        <v>526</v>
      </c>
      <c r="C610" s="22" t="s">
        <v>542</v>
      </c>
      <c r="D610" s="22" t="s">
        <v>165</v>
      </c>
      <c r="E610" s="22" t="s">
        <v>620</v>
      </c>
      <c r="F610" s="22" t="s">
        <v>175</v>
      </c>
      <c r="G610" s="96">
        <f>G611</f>
        <v>848</v>
      </c>
      <c r="H610" s="96">
        <f>H611</f>
        <v>847.53</v>
      </c>
      <c r="I610" s="31">
        <f t="shared" si="60"/>
        <v>99.944575471698101</v>
      </c>
    </row>
    <row r="611" spans="1:9" ht="15" customHeight="1" x14ac:dyDescent="0.2">
      <c r="A611" s="68" t="s">
        <v>176</v>
      </c>
      <c r="B611" s="22" t="s">
        <v>526</v>
      </c>
      <c r="C611" s="22" t="s">
        <v>542</v>
      </c>
      <c r="D611" s="22" t="s">
        <v>165</v>
      </c>
      <c r="E611" s="22" t="s">
        <v>620</v>
      </c>
      <c r="F611" s="22" t="s">
        <v>177</v>
      </c>
      <c r="G611" s="96">
        <f>1000-152</f>
        <v>848</v>
      </c>
      <c r="H611" s="96">
        <v>847.53</v>
      </c>
      <c r="I611" s="31">
        <f t="shared" si="60"/>
        <v>99.944575471698101</v>
      </c>
    </row>
    <row r="612" spans="1:9" x14ac:dyDescent="0.2">
      <c r="A612" s="61" t="s">
        <v>217</v>
      </c>
      <c r="B612" s="16" t="s">
        <v>526</v>
      </c>
      <c r="C612" s="16" t="s">
        <v>542</v>
      </c>
      <c r="D612" s="16" t="s">
        <v>165</v>
      </c>
      <c r="E612" s="16" t="s">
        <v>617</v>
      </c>
      <c r="F612" s="22"/>
      <c r="G612" s="95">
        <f>G613</f>
        <v>8082</v>
      </c>
      <c r="H612" s="95">
        <f>H613</f>
        <v>8056.9549999999999</v>
      </c>
      <c r="I612" s="32">
        <f t="shared" si="60"/>
        <v>99.690113833209608</v>
      </c>
    </row>
    <row r="613" spans="1:9" x14ac:dyDescent="0.2">
      <c r="A613" s="68" t="s">
        <v>305</v>
      </c>
      <c r="B613" s="22" t="s">
        <v>526</v>
      </c>
      <c r="C613" s="22" t="s">
        <v>542</v>
      </c>
      <c r="D613" s="22" t="s">
        <v>165</v>
      </c>
      <c r="E613" s="22" t="s">
        <v>617</v>
      </c>
      <c r="F613" s="22" t="s">
        <v>544</v>
      </c>
      <c r="G613" s="96">
        <f>G614</f>
        <v>8082</v>
      </c>
      <c r="H613" s="96">
        <f>H614</f>
        <v>8056.9549999999999</v>
      </c>
      <c r="I613" s="31">
        <f t="shared" si="60"/>
        <v>99.690113833209608</v>
      </c>
    </row>
    <row r="614" spans="1:9" x14ac:dyDescent="0.2">
      <c r="A614" s="68" t="s">
        <v>545</v>
      </c>
      <c r="B614" s="22" t="s">
        <v>526</v>
      </c>
      <c r="C614" s="22" t="s">
        <v>542</v>
      </c>
      <c r="D614" s="22" t="s">
        <v>165</v>
      </c>
      <c r="E614" s="22" t="s">
        <v>617</v>
      </c>
      <c r="F614" s="22" t="s">
        <v>546</v>
      </c>
      <c r="G614" s="96">
        <f>3500+700+2900+500+660-198+20</f>
        <v>8082</v>
      </c>
      <c r="H614" s="96">
        <v>8056.9549999999999</v>
      </c>
      <c r="I614" s="31">
        <f t="shared" si="60"/>
        <v>99.690113833209608</v>
      </c>
    </row>
    <row r="615" spans="1:9" x14ac:dyDescent="0.2">
      <c r="A615" s="64" t="s">
        <v>489</v>
      </c>
      <c r="B615" s="16" t="s">
        <v>526</v>
      </c>
      <c r="C615" s="16" t="s">
        <v>542</v>
      </c>
      <c r="D615" s="16" t="s">
        <v>599</v>
      </c>
      <c r="E615" s="16"/>
      <c r="F615" s="16"/>
      <c r="G615" s="32">
        <f>G616</f>
        <v>20948.340480000003</v>
      </c>
      <c r="H615" s="32">
        <f>H616</f>
        <v>20945.663</v>
      </c>
      <c r="I615" s="32">
        <f t="shared" si="60"/>
        <v>99.987218653417642</v>
      </c>
    </row>
    <row r="616" spans="1:9" x14ac:dyDescent="0.2">
      <c r="A616" s="67" t="s">
        <v>490</v>
      </c>
      <c r="B616" s="17" t="s">
        <v>526</v>
      </c>
      <c r="C616" s="17" t="s">
        <v>542</v>
      </c>
      <c r="D616" s="17" t="s">
        <v>599</v>
      </c>
      <c r="E616" s="25"/>
      <c r="F616" s="25"/>
      <c r="G616" s="35">
        <f>G617</f>
        <v>20948.340480000003</v>
      </c>
      <c r="H616" s="35">
        <f>H617</f>
        <v>20945.663</v>
      </c>
      <c r="I616" s="35">
        <f t="shared" si="60"/>
        <v>99.987218653417642</v>
      </c>
    </row>
    <row r="617" spans="1:9" ht="27" x14ac:dyDescent="0.2">
      <c r="A617" s="70" t="s">
        <v>439</v>
      </c>
      <c r="B617" s="43" t="s">
        <v>526</v>
      </c>
      <c r="C617" s="43" t="s">
        <v>542</v>
      </c>
      <c r="D617" s="43" t="s">
        <v>599</v>
      </c>
      <c r="E617" s="43" t="s">
        <v>353</v>
      </c>
      <c r="F617" s="43"/>
      <c r="G617" s="47">
        <f>G618+G621+G624+G627</f>
        <v>20948.340480000003</v>
      </c>
      <c r="H617" s="47">
        <f>H618+H621+H624+H627</f>
        <v>20945.663</v>
      </c>
      <c r="I617" s="47">
        <f t="shared" si="60"/>
        <v>99.987218653417642</v>
      </c>
    </row>
    <row r="618" spans="1:9" x14ac:dyDescent="0.2">
      <c r="A618" s="64" t="s">
        <v>621</v>
      </c>
      <c r="B618" s="16" t="s">
        <v>526</v>
      </c>
      <c r="C618" s="16" t="s">
        <v>542</v>
      </c>
      <c r="D618" s="16" t="s">
        <v>599</v>
      </c>
      <c r="E618" s="16" t="s">
        <v>622</v>
      </c>
      <c r="F618" s="16"/>
      <c r="G618" s="32">
        <f>G619</f>
        <v>369.21199999999999</v>
      </c>
      <c r="H618" s="32">
        <f>H619</f>
        <v>369.21199999999999</v>
      </c>
      <c r="I618" s="32">
        <f t="shared" si="60"/>
        <v>100</v>
      </c>
    </row>
    <row r="619" spans="1:9" x14ac:dyDescent="0.2">
      <c r="A619" s="68" t="s">
        <v>378</v>
      </c>
      <c r="B619" s="22" t="s">
        <v>526</v>
      </c>
      <c r="C619" s="22" t="s">
        <v>542</v>
      </c>
      <c r="D619" s="22" t="s">
        <v>599</v>
      </c>
      <c r="E619" s="22" t="s">
        <v>622</v>
      </c>
      <c r="F619" s="22" t="s">
        <v>175</v>
      </c>
      <c r="G619" s="31">
        <f>G620</f>
        <v>369.21199999999999</v>
      </c>
      <c r="H619" s="31">
        <f>H620</f>
        <v>369.21199999999999</v>
      </c>
      <c r="I619" s="31">
        <f t="shared" si="60"/>
        <v>100</v>
      </c>
    </row>
    <row r="620" spans="1:9" ht="15" customHeight="1" x14ac:dyDescent="0.2">
      <c r="A620" s="68" t="s">
        <v>176</v>
      </c>
      <c r="B620" s="22" t="s">
        <v>526</v>
      </c>
      <c r="C620" s="22" t="s">
        <v>542</v>
      </c>
      <c r="D620" s="22" t="s">
        <v>599</v>
      </c>
      <c r="E620" s="22" t="s">
        <v>622</v>
      </c>
      <c r="F620" s="22" t="s">
        <v>177</v>
      </c>
      <c r="G620" s="31">
        <f>500-130.788</f>
        <v>369.21199999999999</v>
      </c>
      <c r="H620" s="31">
        <v>369.21199999999999</v>
      </c>
      <c r="I620" s="31">
        <f t="shared" si="60"/>
        <v>100</v>
      </c>
    </row>
    <row r="621" spans="1:9" x14ac:dyDescent="0.2">
      <c r="A621" s="61" t="s">
        <v>217</v>
      </c>
      <c r="B621" s="16" t="s">
        <v>526</v>
      </c>
      <c r="C621" s="16" t="s">
        <v>542</v>
      </c>
      <c r="D621" s="16" t="s">
        <v>599</v>
      </c>
      <c r="E621" s="89" t="s">
        <v>617</v>
      </c>
      <c r="F621" s="16"/>
      <c r="G621" s="32">
        <f>G622</f>
        <v>600</v>
      </c>
      <c r="H621" s="32">
        <f>H622</f>
        <v>597.32299999999998</v>
      </c>
      <c r="I621" s="32">
        <f t="shared" si="60"/>
        <v>99.55383333333333</v>
      </c>
    </row>
    <row r="622" spans="1:9" x14ac:dyDescent="0.2">
      <c r="A622" s="68" t="s">
        <v>305</v>
      </c>
      <c r="B622" s="22" t="s">
        <v>526</v>
      </c>
      <c r="C622" s="22" t="s">
        <v>542</v>
      </c>
      <c r="D622" s="22" t="s">
        <v>599</v>
      </c>
      <c r="E622" s="22" t="s">
        <v>617</v>
      </c>
      <c r="F622" s="22" t="s">
        <v>544</v>
      </c>
      <c r="G622" s="31">
        <f>G623</f>
        <v>600</v>
      </c>
      <c r="H622" s="31">
        <f>H623</f>
        <v>597.32299999999998</v>
      </c>
      <c r="I622" s="31">
        <f t="shared" si="60"/>
        <v>99.55383333333333</v>
      </c>
    </row>
    <row r="623" spans="1:9" x14ac:dyDescent="0.2">
      <c r="A623" s="68" t="s">
        <v>545</v>
      </c>
      <c r="B623" s="22" t="s">
        <v>526</v>
      </c>
      <c r="C623" s="22" t="s">
        <v>542</v>
      </c>
      <c r="D623" s="22" t="s">
        <v>599</v>
      </c>
      <c r="E623" s="22" t="s">
        <v>617</v>
      </c>
      <c r="F623" s="22" t="s">
        <v>546</v>
      </c>
      <c r="G623" s="31">
        <f>100+500</f>
        <v>600</v>
      </c>
      <c r="H623" s="31">
        <v>597.32299999999998</v>
      </c>
      <c r="I623" s="31">
        <f t="shared" si="60"/>
        <v>99.55383333333333</v>
      </c>
    </row>
    <row r="624" spans="1:9" ht="24" x14ac:dyDescent="0.2">
      <c r="A624" s="64" t="s">
        <v>0</v>
      </c>
      <c r="B624" s="16" t="s">
        <v>526</v>
      </c>
      <c r="C624" s="16" t="s">
        <v>542</v>
      </c>
      <c r="D624" s="16" t="s">
        <v>599</v>
      </c>
      <c r="E624" s="16" t="s">
        <v>1</v>
      </c>
      <c r="F624" s="16"/>
      <c r="G624" s="32">
        <f>G625</f>
        <v>517.41800000000001</v>
      </c>
      <c r="H624" s="32">
        <f>H625</f>
        <v>517.41800000000001</v>
      </c>
      <c r="I624" s="32">
        <f t="shared" si="60"/>
        <v>100</v>
      </c>
    </row>
    <row r="625" spans="1:9" x14ac:dyDescent="0.2">
      <c r="A625" s="68" t="s">
        <v>378</v>
      </c>
      <c r="B625" s="22" t="s">
        <v>526</v>
      </c>
      <c r="C625" s="22" t="s">
        <v>542</v>
      </c>
      <c r="D625" s="22" t="s">
        <v>599</v>
      </c>
      <c r="E625" s="22" t="s">
        <v>1</v>
      </c>
      <c r="F625" s="22" t="s">
        <v>175</v>
      </c>
      <c r="G625" s="31">
        <f>G626</f>
        <v>517.41800000000001</v>
      </c>
      <c r="H625" s="31">
        <f>H626</f>
        <v>517.41800000000001</v>
      </c>
      <c r="I625" s="31">
        <f t="shared" si="60"/>
        <v>100</v>
      </c>
    </row>
    <row r="626" spans="1:9" ht="15" customHeight="1" x14ac:dyDescent="0.2">
      <c r="A626" s="68" t="s">
        <v>176</v>
      </c>
      <c r="B626" s="22" t="s">
        <v>526</v>
      </c>
      <c r="C626" s="22" t="s">
        <v>542</v>
      </c>
      <c r="D626" s="22" t="s">
        <v>599</v>
      </c>
      <c r="E626" s="22" t="s">
        <v>1</v>
      </c>
      <c r="F626" s="22" t="s">
        <v>177</v>
      </c>
      <c r="G626" s="31">
        <f>700-182.582</f>
        <v>517.41800000000001</v>
      </c>
      <c r="H626" s="31">
        <v>517.41800000000001</v>
      </c>
      <c r="I626" s="31">
        <f t="shared" si="60"/>
        <v>100</v>
      </c>
    </row>
    <row r="627" spans="1:9" x14ac:dyDescent="0.2">
      <c r="A627" s="64" t="s">
        <v>307</v>
      </c>
      <c r="B627" s="16" t="s">
        <v>526</v>
      </c>
      <c r="C627" s="16" t="s">
        <v>542</v>
      </c>
      <c r="D627" s="16" t="s">
        <v>599</v>
      </c>
      <c r="E627" s="16" t="s">
        <v>618</v>
      </c>
      <c r="F627" s="16"/>
      <c r="G627" s="32">
        <f>G628</f>
        <v>19461.710480000002</v>
      </c>
      <c r="H627" s="32">
        <f>H628</f>
        <v>19461.71</v>
      </c>
      <c r="I627" s="32">
        <f t="shared" si="60"/>
        <v>99.999997533618625</v>
      </c>
    </row>
    <row r="628" spans="1:9" x14ac:dyDescent="0.2">
      <c r="A628" s="68" t="s">
        <v>305</v>
      </c>
      <c r="B628" s="22" t="s">
        <v>526</v>
      </c>
      <c r="C628" s="9" t="s">
        <v>542</v>
      </c>
      <c r="D628" s="9" t="s">
        <v>599</v>
      </c>
      <c r="E628" s="22" t="s">
        <v>618</v>
      </c>
      <c r="F628" s="22" t="s">
        <v>544</v>
      </c>
      <c r="G628" s="31">
        <f>G629</f>
        <v>19461.710480000002</v>
      </c>
      <c r="H628" s="31">
        <f>H629</f>
        <v>19461.71</v>
      </c>
      <c r="I628" s="31">
        <f t="shared" si="60"/>
        <v>99.999997533618625</v>
      </c>
    </row>
    <row r="629" spans="1:9" x14ac:dyDescent="0.2">
      <c r="A629" s="68" t="s">
        <v>545</v>
      </c>
      <c r="B629" s="22" t="s">
        <v>526</v>
      </c>
      <c r="C629" s="9" t="s">
        <v>542</v>
      </c>
      <c r="D629" s="9" t="s">
        <v>599</v>
      </c>
      <c r="E629" s="22" t="s">
        <v>618</v>
      </c>
      <c r="F629" s="22" t="s">
        <v>546</v>
      </c>
      <c r="G629" s="31">
        <f>33726.4-500-5000-1200-11.15151-300-600-7300-3000-0.71101-213.08948+3728.26248-20+152</f>
        <v>19461.710480000002</v>
      </c>
      <c r="H629" s="31">
        <v>19461.71</v>
      </c>
      <c r="I629" s="31">
        <f t="shared" si="60"/>
        <v>99.999997533618625</v>
      </c>
    </row>
    <row r="630" spans="1:9" x14ac:dyDescent="0.2">
      <c r="A630" s="64" t="s">
        <v>491</v>
      </c>
      <c r="B630" s="16" t="s">
        <v>526</v>
      </c>
      <c r="C630" s="16" t="s">
        <v>542</v>
      </c>
      <c r="D630" s="16" t="s">
        <v>591</v>
      </c>
      <c r="E630" s="22"/>
      <c r="F630" s="22"/>
      <c r="G630" s="32">
        <f>G631</f>
        <v>68900</v>
      </c>
      <c r="H630" s="32">
        <f>H631</f>
        <v>63680.983999999997</v>
      </c>
      <c r="I630" s="32">
        <f t="shared" si="60"/>
        <v>92.425230769230765</v>
      </c>
    </row>
    <row r="631" spans="1:9" ht="27" x14ac:dyDescent="0.2">
      <c r="A631" s="70" t="s">
        <v>439</v>
      </c>
      <c r="B631" s="43" t="s">
        <v>526</v>
      </c>
      <c r="C631" s="43" t="s">
        <v>542</v>
      </c>
      <c r="D631" s="43" t="s">
        <v>591</v>
      </c>
      <c r="E631" s="43" t="s">
        <v>353</v>
      </c>
      <c r="F631" s="43"/>
      <c r="G631" s="47">
        <f>G632+G635+G638+G641</f>
        <v>68900</v>
      </c>
      <c r="H631" s="47">
        <f>H632+H635+H638+H641</f>
        <v>63680.983999999997</v>
      </c>
      <c r="I631" s="47">
        <f t="shared" si="60"/>
        <v>92.425230769230765</v>
      </c>
    </row>
    <row r="632" spans="1:9" x14ac:dyDescent="0.2">
      <c r="A632" s="61" t="s">
        <v>2</v>
      </c>
      <c r="B632" s="16" t="s">
        <v>526</v>
      </c>
      <c r="C632" s="16" t="s">
        <v>542</v>
      </c>
      <c r="D632" s="16" t="s">
        <v>591</v>
      </c>
      <c r="E632" s="16" t="s">
        <v>3</v>
      </c>
      <c r="F632" s="16"/>
      <c r="G632" s="32">
        <f>G633</f>
        <v>11397</v>
      </c>
      <c r="H632" s="32">
        <f>H633</f>
        <v>11186.454</v>
      </c>
      <c r="I632" s="32">
        <f t="shared" si="60"/>
        <v>98.152619110292179</v>
      </c>
    </row>
    <row r="633" spans="1:9" x14ac:dyDescent="0.2">
      <c r="A633" s="68" t="s">
        <v>268</v>
      </c>
      <c r="B633" s="22" t="s">
        <v>526</v>
      </c>
      <c r="C633" s="22" t="s">
        <v>542</v>
      </c>
      <c r="D633" s="22" t="s">
        <v>591</v>
      </c>
      <c r="E633" s="22" t="s">
        <v>3</v>
      </c>
      <c r="F633" s="22" t="s">
        <v>175</v>
      </c>
      <c r="G633" s="31">
        <f>G634</f>
        <v>11397</v>
      </c>
      <c r="H633" s="31">
        <f>H634</f>
        <v>11186.454</v>
      </c>
      <c r="I633" s="31">
        <f t="shared" si="60"/>
        <v>98.152619110292179</v>
      </c>
    </row>
    <row r="634" spans="1:9" ht="15" customHeight="1" x14ac:dyDescent="0.2">
      <c r="A634" s="68" t="s">
        <v>176</v>
      </c>
      <c r="B634" s="22" t="s">
        <v>526</v>
      </c>
      <c r="C634" s="22" t="s">
        <v>542</v>
      </c>
      <c r="D634" s="22" t="s">
        <v>591</v>
      </c>
      <c r="E634" s="22" t="s">
        <v>3</v>
      </c>
      <c r="F634" s="22" t="s">
        <v>177</v>
      </c>
      <c r="G634" s="31">
        <f>11400-3</f>
        <v>11397</v>
      </c>
      <c r="H634" s="31">
        <v>11186.454</v>
      </c>
      <c r="I634" s="31">
        <f t="shared" si="60"/>
        <v>98.152619110292179</v>
      </c>
    </row>
    <row r="635" spans="1:9" x14ac:dyDescent="0.2">
      <c r="A635" s="64" t="s">
        <v>4</v>
      </c>
      <c r="B635" s="16" t="s">
        <v>526</v>
      </c>
      <c r="C635" s="16" t="s">
        <v>542</v>
      </c>
      <c r="D635" s="16" t="s">
        <v>591</v>
      </c>
      <c r="E635" s="16" t="s">
        <v>5</v>
      </c>
      <c r="F635" s="16"/>
      <c r="G635" s="32">
        <f>G636</f>
        <v>7400</v>
      </c>
      <c r="H635" s="32">
        <f>H636</f>
        <v>7391.6850000000004</v>
      </c>
      <c r="I635" s="32">
        <f t="shared" si="60"/>
        <v>99.887635135135142</v>
      </c>
    </row>
    <row r="636" spans="1:9" x14ac:dyDescent="0.2">
      <c r="A636" s="68" t="s">
        <v>268</v>
      </c>
      <c r="B636" s="22" t="s">
        <v>526</v>
      </c>
      <c r="C636" s="22" t="s">
        <v>542</v>
      </c>
      <c r="D636" s="22" t="s">
        <v>591</v>
      </c>
      <c r="E636" s="22" t="s">
        <v>5</v>
      </c>
      <c r="F636" s="22" t="s">
        <v>175</v>
      </c>
      <c r="G636" s="31">
        <f>G637</f>
        <v>7400</v>
      </c>
      <c r="H636" s="31">
        <f>H637</f>
        <v>7391.6850000000004</v>
      </c>
      <c r="I636" s="31">
        <f t="shared" si="60"/>
        <v>99.887635135135142</v>
      </c>
    </row>
    <row r="637" spans="1:9" ht="15" customHeight="1" x14ac:dyDescent="0.2">
      <c r="A637" s="68" t="s">
        <v>176</v>
      </c>
      <c r="B637" s="22" t="s">
        <v>526</v>
      </c>
      <c r="C637" s="22" t="s">
        <v>542</v>
      </c>
      <c r="D637" s="22" t="s">
        <v>591</v>
      </c>
      <c r="E637" s="22" t="s">
        <v>5</v>
      </c>
      <c r="F637" s="22" t="s">
        <v>177</v>
      </c>
      <c r="G637" s="31">
        <f>3000+4400</f>
        <v>7400</v>
      </c>
      <c r="H637" s="31">
        <v>7391.6850000000004</v>
      </c>
      <c r="I637" s="31">
        <f t="shared" si="60"/>
        <v>99.887635135135142</v>
      </c>
    </row>
    <row r="638" spans="1:9" x14ac:dyDescent="0.2">
      <c r="A638" s="61" t="s">
        <v>217</v>
      </c>
      <c r="B638" s="16" t="s">
        <v>526</v>
      </c>
      <c r="C638" s="16" t="s">
        <v>542</v>
      </c>
      <c r="D638" s="16" t="s">
        <v>591</v>
      </c>
      <c r="E638" s="16" t="s">
        <v>617</v>
      </c>
      <c r="F638" s="16"/>
      <c r="G638" s="95">
        <f>G639</f>
        <v>103</v>
      </c>
      <c r="H638" s="95">
        <f>H639</f>
        <v>102.887</v>
      </c>
      <c r="I638" s="32">
        <f t="shared" si="60"/>
        <v>99.890291262135918</v>
      </c>
    </row>
    <row r="639" spans="1:9" x14ac:dyDescent="0.2">
      <c r="A639" s="68" t="s">
        <v>378</v>
      </c>
      <c r="B639" s="22" t="s">
        <v>526</v>
      </c>
      <c r="C639" s="22" t="s">
        <v>542</v>
      </c>
      <c r="D639" s="22" t="s">
        <v>591</v>
      </c>
      <c r="E639" s="22" t="s">
        <v>617</v>
      </c>
      <c r="F639" s="22" t="s">
        <v>175</v>
      </c>
      <c r="G639" s="96">
        <f>G640</f>
        <v>103</v>
      </c>
      <c r="H639" s="96">
        <f>H640</f>
        <v>102.887</v>
      </c>
      <c r="I639" s="31">
        <f t="shared" si="60"/>
        <v>99.890291262135918</v>
      </c>
    </row>
    <row r="640" spans="1:9" ht="15" customHeight="1" x14ac:dyDescent="0.2">
      <c r="A640" s="68" t="s">
        <v>176</v>
      </c>
      <c r="B640" s="22" t="s">
        <v>526</v>
      </c>
      <c r="C640" s="22" t="s">
        <v>542</v>
      </c>
      <c r="D640" s="22" t="s">
        <v>591</v>
      </c>
      <c r="E640" s="22" t="s">
        <v>617</v>
      </c>
      <c r="F640" s="22" t="s">
        <v>177</v>
      </c>
      <c r="G640" s="96">
        <f>100+3</f>
        <v>103</v>
      </c>
      <c r="H640" s="96">
        <v>102.887</v>
      </c>
      <c r="I640" s="31">
        <f t="shared" si="60"/>
        <v>99.890291262135918</v>
      </c>
    </row>
    <row r="641" spans="1:9" ht="15" customHeight="1" x14ac:dyDescent="0.2">
      <c r="A641" s="121" t="s">
        <v>627</v>
      </c>
      <c r="B641" s="122" t="s">
        <v>526</v>
      </c>
      <c r="C641" s="122" t="s">
        <v>542</v>
      </c>
      <c r="D641" s="122" t="s">
        <v>591</v>
      </c>
      <c r="E641" s="122" t="s">
        <v>626</v>
      </c>
      <c r="F641" s="122"/>
      <c r="G641" s="123">
        <f>G642</f>
        <v>50000</v>
      </c>
      <c r="H641" s="123">
        <f>H642</f>
        <v>44999.957999999999</v>
      </c>
      <c r="I641" s="32">
        <f t="shared" ref="I641:I661" si="61">H641/G641*100</f>
        <v>89.999915999999999</v>
      </c>
    </row>
    <row r="642" spans="1:9" ht="15" customHeight="1" x14ac:dyDescent="0.2">
      <c r="A642" s="124" t="s">
        <v>378</v>
      </c>
      <c r="B642" s="125" t="s">
        <v>526</v>
      </c>
      <c r="C642" s="125" t="s">
        <v>542</v>
      </c>
      <c r="D642" s="125" t="s">
        <v>591</v>
      </c>
      <c r="E642" s="125" t="s">
        <v>626</v>
      </c>
      <c r="F642" s="125" t="s">
        <v>175</v>
      </c>
      <c r="G642" s="126">
        <f>G643</f>
        <v>50000</v>
      </c>
      <c r="H642" s="126">
        <f>H643</f>
        <v>44999.957999999999</v>
      </c>
      <c r="I642" s="31">
        <f t="shared" si="61"/>
        <v>89.999915999999999</v>
      </c>
    </row>
    <row r="643" spans="1:9" ht="15" customHeight="1" x14ac:dyDescent="0.2">
      <c r="A643" s="124" t="s">
        <v>176</v>
      </c>
      <c r="B643" s="125" t="s">
        <v>526</v>
      </c>
      <c r="C643" s="125" t="s">
        <v>542</v>
      </c>
      <c r="D643" s="125" t="s">
        <v>591</v>
      </c>
      <c r="E643" s="125" t="s">
        <v>626</v>
      </c>
      <c r="F643" s="125" t="s">
        <v>177</v>
      </c>
      <c r="G643" s="126">
        <v>50000</v>
      </c>
      <c r="H643" s="126">
        <v>44999.957999999999</v>
      </c>
      <c r="I643" s="31">
        <f t="shared" si="61"/>
        <v>89.999915999999999</v>
      </c>
    </row>
    <row r="644" spans="1:9" x14ac:dyDescent="0.2">
      <c r="A644" s="64" t="s">
        <v>492</v>
      </c>
      <c r="B644" s="16" t="s">
        <v>526</v>
      </c>
      <c r="C644" s="16" t="s">
        <v>542</v>
      </c>
      <c r="D644" s="16" t="s">
        <v>542</v>
      </c>
      <c r="E644" s="16"/>
      <c r="F644" s="16"/>
      <c r="G644" s="32">
        <f t="shared" ref="G644:H646" si="62">G645</f>
        <v>6154.692</v>
      </c>
      <c r="H644" s="32">
        <f t="shared" si="62"/>
        <v>6055.9686400000001</v>
      </c>
      <c r="I644" s="32">
        <f t="shared" si="61"/>
        <v>98.395965874490557</v>
      </c>
    </row>
    <row r="645" spans="1:9" ht="24" x14ac:dyDescent="0.2">
      <c r="A645" s="67" t="s">
        <v>524</v>
      </c>
      <c r="B645" s="17" t="s">
        <v>526</v>
      </c>
      <c r="C645" s="17" t="s">
        <v>542</v>
      </c>
      <c r="D645" s="17" t="s">
        <v>542</v>
      </c>
      <c r="E645" s="17"/>
      <c r="F645" s="17"/>
      <c r="G645" s="35">
        <f t="shared" si="62"/>
        <v>6154.692</v>
      </c>
      <c r="H645" s="35">
        <f t="shared" si="62"/>
        <v>6055.9686400000001</v>
      </c>
      <c r="I645" s="35">
        <f t="shared" si="61"/>
        <v>98.395965874490557</v>
      </c>
    </row>
    <row r="646" spans="1:9" x14ac:dyDescent="0.2">
      <c r="A646" s="65" t="s">
        <v>163</v>
      </c>
      <c r="B646" s="17" t="s">
        <v>526</v>
      </c>
      <c r="C646" s="17" t="s">
        <v>542</v>
      </c>
      <c r="D646" s="17" t="s">
        <v>542</v>
      </c>
      <c r="E646" s="17" t="s">
        <v>293</v>
      </c>
      <c r="F646" s="17"/>
      <c r="G646" s="35">
        <f t="shared" si="62"/>
        <v>6154.692</v>
      </c>
      <c r="H646" s="35">
        <f t="shared" si="62"/>
        <v>6055.9686400000001</v>
      </c>
      <c r="I646" s="35">
        <f t="shared" si="61"/>
        <v>98.395965874490557</v>
      </c>
    </row>
    <row r="647" spans="1:9" x14ac:dyDescent="0.2">
      <c r="A647" s="66" t="s">
        <v>381</v>
      </c>
      <c r="B647" s="16" t="s">
        <v>526</v>
      </c>
      <c r="C647" s="16" t="s">
        <v>542</v>
      </c>
      <c r="D647" s="16" t="s">
        <v>542</v>
      </c>
      <c r="E647" s="16" t="s">
        <v>294</v>
      </c>
      <c r="F647" s="22"/>
      <c r="G647" s="32">
        <f>G648+G651+G656</f>
        <v>6154.692</v>
      </c>
      <c r="H647" s="32">
        <f>H648+H651+H656</f>
        <v>6055.9686400000001</v>
      </c>
      <c r="I647" s="32">
        <f t="shared" si="61"/>
        <v>98.395965874490557</v>
      </c>
    </row>
    <row r="648" spans="1:9" x14ac:dyDescent="0.2">
      <c r="A648" s="66" t="s">
        <v>505</v>
      </c>
      <c r="B648" s="16" t="s">
        <v>526</v>
      </c>
      <c r="C648" s="16" t="s">
        <v>542</v>
      </c>
      <c r="D648" s="16" t="s">
        <v>542</v>
      </c>
      <c r="E648" s="16" t="s">
        <v>295</v>
      </c>
      <c r="F648" s="16"/>
      <c r="G648" s="32">
        <f>G649</f>
        <v>5288</v>
      </c>
      <c r="H648" s="32">
        <f>H649</f>
        <v>5240.0780000000004</v>
      </c>
      <c r="I648" s="32">
        <f t="shared" si="61"/>
        <v>99.093759455370659</v>
      </c>
    </row>
    <row r="649" spans="1:9" ht="36" x14ac:dyDescent="0.2">
      <c r="A649" s="68" t="s">
        <v>168</v>
      </c>
      <c r="B649" s="22" t="s">
        <v>526</v>
      </c>
      <c r="C649" s="22" t="s">
        <v>542</v>
      </c>
      <c r="D649" s="22" t="s">
        <v>542</v>
      </c>
      <c r="E649" s="22" t="s">
        <v>295</v>
      </c>
      <c r="F649" s="22" t="s">
        <v>169</v>
      </c>
      <c r="G649" s="31">
        <f>G650</f>
        <v>5288</v>
      </c>
      <c r="H649" s="31">
        <f>H650</f>
        <v>5240.0780000000004</v>
      </c>
      <c r="I649" s="31">
        <f t="shared" si="61"/>
        <v>99.093759455370659</v>
      </c>
    </row>
    <row r="650" spans="1:9" x14ac:dyDescent="0.2">
      <c r="A650" s="68" t="s">
        <v>170</v>
      </c>
      <c r="B650" s="22" t="s">
        <v>526</v>
      </c>
      <c r="C650" s="22" t="s">
        <v>542</v>
      </c>
      <c r="D650" s="22" t="s">
        <v>542</v>
      </c>
      <c r="E650" s="22" t="s">
        <v>295</v>
      </c>
      <c r="F650" s="22" t="s">
        <v>173</v>
      </c>
      <c r="G650" s="31">
        <f>4100+50+1238-100</f>
        <v>5288</v>
      </c>
      <c r="H650" s="31">
        <v>5240.0780000000004</v>
      </c>
      <c r="I650" s="31">
        <f t="shared" si="61"/>
        <v>99.093759455370659</v>
      </c>
    </row>
    <row r="651" spans="1:9" x14ac:dyDescent="0.2">
      <c r="A651" s="64" t="s">
        <v>174</v>
      </c>
      <c r="B651" s="16" t="s">
        <v>526</v>
      </c>
      <c r="C651" s="16" t="s">
        <v>542</v>
      </c>
      <c r="D651" s="16" t="s">
        <v>542</v>
      </c>
      <c r="E651" s="16" t="s">
        <v>296</v>
      </c>
      <c r="F651" s="16"/>
      <c r="G651" s="32">
        <f>G652+G654</f>
        <v>750</v>
      </c>
      <c r="H651" s="32">
        <f>H652+H654</f>
        <v>699.19864000000007</v>
      </c>
      <c r="I651" s="32">
        <f t="shared" si="61"/>
        <v>93.226485333333343</v>
      </c>
    </row>
    <row r="652" spans="1:9" x14ac:dyDescent="0.2">
      <c r="A652" s="68" t="s">
        <v>378</v>
      </c>
      <c r="B652" s="22" t="s">
        <v>526</v>
      </c>
      <c r="C652" s="22" t="s">
        <v>542</v>
      </c>
      <c r="D652" s="22" t="s">
        <v>542</v>
      </c>
      <c r="E652" s="22" t="s">
        <v>296</v>
      </c>
      <c r="F652" s="22" t="s">
        <v>175</v>
      </c>
      <c r="G652" s="31">
        <f>G653</f>
        <v>735</v>
      </c>
      <c r="H652" s="31">
        <f>H653</f>
        <v>699.07600000000002</v>
      </c>
      <c r="I652" s="31">
        <f t="shared" si="61"/>
        <v>95.11238095238096</v>
      </c>
    </row>
    <row r="653" spans="1:9" ht="15" customHeight="1" x14ac:dyDescent="0.2">
      <c r="A653" s="68" t="s">
        <v>176</v>
      </c>
      <c r="B653" s="22" t="s">
        <v>526</v>
      </c>
      <c r="C653" s="22" t="s">
        <v>542</v>
      </c>
      <c r="D653" s="22" t="s">
        <v>542</v>
      </c>
      <c r="E653" s="22" t="s">
        <v>296</v>
      </c>
      <c r="F653" s="22" t="s">
        <v>177</v>
      </c>
      <c r="G653" s="31">
        <f>740-150+115+30</f>
        <v>735</v>
      </c>
      <c r="H653" s="31">
        <v>699.07600000000002</v>
      </c>
      <c r="I653" s="31">
        <f t="shared" si="61"/>
        <v>95.11238095238096</v>
      </c>
    </row>
    <row r="654" spans="1:9" x14ac:dyDescent="0.2">
      <c r="A654" s="68" t="s">
        <v>178</v>
      </c>
      <c r="B654" s="22" t="s">
        <v>526</v>
      </c>
      <c r="C654" s="22" t="s">
        <v>542</v>
      </c>
      <c r="D654" s="22" t="s">
        <v>542</v>
      </c>
      <c r="E654" s="22" t="s">
        <v>296</v>
      </c>
      <c r="F654" s="22" t="s">
        <v>179</v>
      </c>
      <c r="G654" s="31">
        <f>G655</f>
        <v>15</v>
      </c>
      <c r="H654" s="31">
        <f>H655</f>
        <v>0.12264</v>
      </c>
      <c r="I654" s="31">
        <f t="shared" si="61"/>
        <v>0.81759999999999988</v>
      </c>
    </row>
    <row r="655" spans="1:9" x14ac:dyDescent="0.2">
      <c r="A655" s="68" t="s">
        <v>87</v>
      </c>
      <c r="B655" s="22" t="s">
        <v>526</v>
      </c>
      <c r="C655" s="22" t="s">
        <v>542</v>
      </c>
      <c r="D655" s="22" t="s">
        <v>542</v>
      </c>
      <c r="E655" s="22" t="s">
        <v>296</v>
      </c>
      <c r="F655" s="22" t="s">
        <v>180</v>
      </c>
      <c r="G655" s="31">
        <f>160-115-30</f>
        <v>15</v>
      </c>
      <c r="H655" s="31">
        <v>0.12264</v>
      </c>
      <c r="I655" s="31">
        <f t="shared" si="61"/>
        <v>0.81759999999999988</v>
      </c>
    </row>
    <row r="656" spans="1:9" ht="24" x14ac:dyDescent="0.2">
      <c r="A656" s="64" t="s">
        <v>632</v>
      </c>
      <c r="B656" s="16" t="s">
        <v>526</v>
      </c>
      <c r="C656" s="16" t="s">
        <v>542</v>
      </c>
      <c r="D656" s="16" t="s">
        <v>542</v>
      </c>
      <c r="E656" s="16" t="s">
        <v>633</v>
      </c>
      <c r="F656" s="16"/>
      <c r="G656" s="32">
        <f>G657</f>
        <v>116.69199999999999</v>
      </c>
      <c r="H656" s="32">
        <f>H657</f>
        <v>116.69199999999999</v>
      </c>
      <c r="I656" s="32">
        <f t="shared" si="61"/>
        <v>100</v>
      </c>
    </row>
    <row r="657" spans="1:9" ht="36" x14ac:dyDescent="0.2">
      <c r="A657" s="68" t="s">
        <v>168</v>
      </c>
      <c r="B657" s="22" t="s">
        <v>526</v>
      </c>
      <c r="C657" s="22" t="s">
        <v>542</v>
      </c>
      <c r="D657" s="22" t="s">
        <v>542</v>
      </c>
      <c r="E657" s="22" t="s">
        <v>633</v>
      </c>
      <c r="F657" s="22" t="s">
        <v>169</v>
      </c>
      <c r="G657" s="31">
        <f>G658</f>
        <v>116.69199999999999</v>
      </c>
      <c r="H657" s="31">
        <f>H658</f>
        <v>116.69199999999999</v>
      </c>
      <c r="I657" s="31">
        <f t="shared" si="61"/>
        <v>100</v>
      </c>
    </row>
    <row r="658" spans="1:9" x14ac:dyDescent="0.2">
      <c r="A658" s="68" t="s">
        <v>170</v>
      </c>
      <c r="B658" s="22" t="s">
        <v>526</v>
      </c>
      <c r="C658" s="22" t="s">
        <v>542</v>
      </c>
      <c r="D658" s="22" t="s">
        <v>542</v>
      </c>
      <c r="E658" s="22" t="s">
        <v>633</v>
      </c>
      <c r="F658" s="22" t="s">
        <v>173</v>
      </c>
      <c r="G658" s="31">
        <v>116.69199999999999</v>
      </c>
      <c r="H658" s="31">
        <v>116.69199999999999</v>
      </c>
      <c r="I658" s="31">
        <f t="shared" si="61"/>
        <v>100</v>
      </c>
    </row>
    <row r="659" spans="1:9" x14ac:dyDescent="0.2">
      <c r="A659" s="64" t="s">
        <v>394</v>
      </c>
      <c r="B659" s="16" t="s">
        <v>526</v>
      </c>
      <c r="C659" s="16" t="s">
        <v>379</v>
      </c>
      <c r="D659" s="16" t="s">
        <v>166</v>
      </c>
      <c r="E659" s="16"/>
      <c r="F659" s="16"/>
      <c r="G659" s="32">
        <f t="shared" ref="G659:H663" si="63">G660</f>
        <v>1800</v>
      </c>
      <c r="H659" s="32">
        <f t="shared" si="63"/>
        <v>1797.7339999999999</v>
      </c>
      <c r="I659" s="32">
        <f t="shared" si="61"/>
        <v>99.874111111111105</v>
      </c>
    </row>
    <row r="660" spans="1:9" x14ac:dyDescent="0.2">
      <c r="A660" s="64" t="s">
        <v>395</v>
      </c>
      <c r="B660" s="16" t="s">
        <v>526</v>
      </c>
      <c r="C660" s="16" t="s">
        <v>379</v>
      </c>
      <c r="D660" s="16" t="s">
        <v>591</v>
      </c>
      <c r="E660" s="16"/>
      <c r="F660" s="16"/>
      <c r="G660" s="32">
        <f t="shared" si="63"/>
        <v>1800</v>
      </c>
      <c r="H660" s="32">
        <f t="shared" si="63"/>
        <v>1797.7339999999999</v>
      </c>
      <c r="I660" s="32">
        <f t="shared" si="61"/>
        <v>99.874111111111105</v>
      </c>
    </row>
    <row r="661" spans="1:9" ht="27" x14ac:dyDescent="0.2">
      <c r="A661" s="70" t="s">
        <v>439</v>
      </c>
      <c r="B661" s="43" t="s">
        <v>526</v>
      </c>
      <c r="C661" s="43" t="s">
        <v>379</v>
      </c>
      <c r="D661" s="43" t="s">
        <v>591</v>
      </c>
      <c r="E661" s="43" t="s">
        <v>353</v>
      </c>
      <c r="F661" s="22"/>
      <c r="G661" s="47">
        <f t="shared" si="63"/>
        <v>1800</v>
      </c>
      <c r="H661" s="47">
        <f t="shared" si="63"/>
        <v>1797.7339999999999</v>
      </c>
      <c r="I661" s="35">
        <f t="shared" si="61"/>
        <v>99.874111111111105</v>
      </c>
    </row>
    <row r="662" spans="1:9" x14ac:dyDescent="0.2">
      <c r="A662" s="61" t="s">
        <v>217</v>
      </c>
      <c r="B662" s="16" t="s">
        <v>526</v>
      </c>
      <c r="C662" s="16" t="s">
        <v>379</v>
      </c>
      <c r="D662" s="16" t="s">
        <v>591</v>
      </c>
      <c r="E662" s="89" t="s">
        <v>617</v>
      </c>
      <c r="F662" s="16"/>
      <c r="G662" s="32">
        <f t="shared" si="63"/>
        <v>1800</v>
      </c>
      <c r="H662" s="32">
        <f t="shared" si="63"/>
        <v>1797.7339999999999</v>
      </c>
      <c r="I662" s="32">
        <f t="shared" ref="I662:I695" si="64">H662/G662*100</f>
        <v>99.874111111111105</v>
      </c>
    </row>
    <row r="663" spans="1:9" x14ac:dyDescent="0.2">
      <c r="A663" s="68" t="s">
        <v>305</v>
      </c>
      <c r="B663" s="22" t="s">
        <v>526</v>
      </c>
      <c r="C663" s="22" t="s">
        <v>379</v>
      </c>
      <c r="D663" s="22" t="s">
        <v>591</v>
      </c>
      <c r="E663" s="22" t="s">
        <v>617</v>
      </c>
      <c r="F663" s="22" t="s">
        <v>544</v>
      </c>
      <c r="G663" s="31">
        <f t="shared" si="63"/>
        <v>1800</v>
      </c>
      <c r="H663" s="31">
        <f t="shared" si="63"/>
        <v>1797.7339999999999</v>
      </c>
      <c r="I663" s="31">
        <f t="shared" si="64"/>
        <v>99.874111111111105</v>
      </c>
    </row>
    <row r="664" spans="1:9" x14ac:dyDescent="0.2">
      <c r="A664" s="68" t="s">
        <v>545</v>
      </c>
      <c r="B664" s="22" t="s">
        <v>526</v>
      </c>
      <c r="C664" s="22" t="s">
        <v>379</v>
      </c>
      <c r="D664" s="22" t="s">
        <v>591</v>
      </c>
      <c r="E664" s="22" t="s">
        <v>617</v>
      </c>
      <c r="F664" s="22" t="s">
        <v>546</v>
      </c>
      <c r="G664" s="31">
        <f>1300+500</f>
        <v>1800</v>
      </c>
      <c r="H664" s="31">
        <v>1797.7339999999999</v>
      </c>
      <c r="I664" s="31">
        <f t="shared" si="64"/>
        <v>99.874111111111105</v>
      </c>
    </row>
    <row r="665" spans="1:9" x14ac:dyDescent="0.2">
      <c r="A665" s="64" t="s">
        <v>493</v>
      </c>
      <c r="B665" s="16" t="s">
        <v>526</v>
      </c>
      <c r="C665" s="16" t="s">
        <v>598</v>
      </c>
      <c r="D665" s="16" t="s">
        <v>166</v>
      </c>
      <c r="E665" s="16"/>
      <c r="F665" s="16"/>
      <c r="G665" s="32">
        <f>G666+G671+G676</f>
        <v>75206.831000000006</v>
      </c>
      <c r="H665" s="32">
        <f>H666+H671+H676</f>
        <v>75166.463000000003</v>
      </c>
      <c r="I665" s="32">
        <f t="shared" si="64"/>
        <v>99.946324024741855</v>
      </c>
    </row>
    <row r="666" spans="1:9" x14ac:dyDescent="0.2">
      <c r="A666" s="54" t="s">
        <v>494</v>
      </c>
      <c r="B666" s="16" t="s">
        <v>526</v>
      </c>
      <c r="C666" s="16" t="s">
        <v>598</v>
      </c>
      <c r="D666" s="16" t="s">
        <v>165</v>
      </c>
      <c r="E666" s="16"/>
      <c r="F666" s="16"/>
      <c r="G666" s="32">
        <f t="shared" ref="G666:H669" si="65">G667</f>
        <v>2225.1</v>
      </c>
      <c r="H666" s="32">
        <f t="shared" si="65"/>
        <v>2225.1</v>
      </c>
      <c r="I666" s="32">
        <f t="shared" si="64"/>
        <v>100</v>
      </c>
    </row>
    <row r="667" spans="1:9" ht="27" x14ac:dyDescent="0.2">
      <c r="A667" s="70" t="s">
        <v>439</v>
      </c>
      <c r="B667" s="43" t="s">
        <v>526</v>
      </c>
      <c r="C667" s="43" t="s">
        <v>598</v>
      </c>
      <c r="D667" s="43" t="s">
        <v>165</v>
      </c>
      <c r="E667" s="43" t="s">
        <v>353</v>
      </c>
      <c r="F667" s="43"/>
      <c r="G667" s="47">
        <f t="shared" si="65"/>
        <v>2225.1</v>
      </c>
      <c r="H667" s="47">
        <f t="shared" si="65"/>
        <v>2225.1</v>
      </c>
      <c r="I667" s="35">
        <f t="shared" si="64"/>
        <v>100</v>
      </c>
    </row>
    <row r="668" spans="1:9" ht="39" customHeight="1" x14ac:dyDescent="0.2">
      <c r="A668" s="64" t="s">
        <v>106</v>
      </c>
      <c r="B668" s="16" t="s">
        <v>526</v>
      </c>
      <c r="C668" s="16" t="s">
        <v>598</v>
      </c>
      <c r="D668" s="16" t="s">
        <v>165</v>
      </c>
      <c r="E668" s="16" t="s">
        <v>387</v>
      </c>
      <c r="F668" s="16"/>
      <c r="G668" s="32">
        <f t="shared" si="65"/>
        <v>2225.1</v>
      </c>
      <c r="H668" s="32">
        <f t="shared" si="65"/>
        <v>2225.1</v>
      </c>
      <c r="I668" s="32">
        <f t="shared" si="64"/>
        <v>100</v>
      </c>
    </row>
    <row r="669" spans="1:9" x14ac:dyDescent="0.2">
      <c r="A669" s="68" t="s">
        <v>239</v>
      </c>
      <c r="B669" s="22" t="s">
        <v>526</v>
      </c>
      <c r="C669" s="22" t="s">
        <v>598</v>
      </c>
      <c r="D669" s="22" t="s">
        <v>165</v>
      </c>
      <c r="E669" s="22" t="s">
        <v>387</v>
      </c>
      <c r="F669" s="22" t="s">
        <v>175</v>
      </c>
      <c r="G669" s="31">
        <f t="shared" si="65"/>
        <v>2225.1</v>
      </c>
      <c r="H669" s="31">
        <f t="shared" si="65"/>
        <v>2225.1</v>
      </c>
      <c r="I669" s="31">
        <f t="shared" si="64"/>
        <v>100</v>
      </c>
    </row>
    <row r="670" spans="1:9" ht="15" customHeight="1" x14ac:dyDescent="0.2">
      <c r="A670" s="68" t="s">
        <v>176</v>
      </c>
      <c r="B670" s="22" t="s">
        <v>526</v>
      </c>
      <c r="C670" s="22" t="s">
        <v>598</v>
      </c>
      <c r="D670" s="22" t="s">
        <v>165</v>
      </c>
      <c r="E670" s="22" t="s">
        <v>387</v>
      </c>
      <c r="F670" s="22" t="s">
        <v>177</v>
      </c>
      <c r="G670" s="31">
        <v>2225.1</v>
      </c>
      <c r="H670" s="31">
        <v>2225.1</v>
      </c>
      <c r="I670" s="31">
        <f t="shared" si="64"/>
        <v>100</v>
      </c>
    </row>
    <row r="671" spans="1:9" x14ac:dyDescent="0.2">
      <c r="A671" s="64" t="s">
        <v>358</v>
      </c>
      <c r="B671" s="16" t="s">
        <v>526</v>
      </c>
      <c r="C671" s="16" t="s">
        <v>598</v>
      </c>
      <c r="D671" s="16" t="s">
        <v>591</v>
      </c>
      <c r="E671" s="16"/>
      <c r="F671" s="16"/>
      <c r="G671" s="32">
        <f t="shared" ref="G671:H674" si="66">G672</f>
        <v>500</v>
      </c>
      <c r="H671" s="32">
        <f t="shared" si="66"/>
        <v>500</v>
      </c>
      <c r="I671" s="32">
        <f t="shared" si="64"/>
        <v>100</v>
      </c>
    </row>
    <row r="672" spans="1:9" ht="27" x14ac:dyDescent="0.2">
      <c r="A672" s="70" t="s">
        <v>439</v>
      </c>
      <c r="B672" s="43" t="s">
        <v>526</v>
      </c>
      <c r="C672" s="43" t="s">
        <v>598</v>
      </c>
      <c r="D672" s="43" t="s">
        <v>591</v>
      </c>
      <c r="E672" s="43" t="s">
        <v>353</v>
      </c>
      <c r="F672" s="43"/>
      <c r="G672" s="47">
        <f t="shared" si="66"/>
        <v>500</v>
      </c>
      <c r="H672" s="47">
        <f t="shared" si="66"/>
        <v>500</v>
      </c>
      <c r="I672" s="35">
        <f t="shared" si="64"/>
        <v>100</v>
      </c>
    </row>
    <row r="673" spans="1:9" ht="39" customHeight="1" x14ac:dyDescent="0.2">
      <c r="A673" s="64" t="s">
        <v>106</v>
      </c>
      <c r="B673" s="16" t="s">
        <v>526</v>
      </c>
      <c r="C673" s="16" t="s">
        <v>598</v>
      </c>
      <c r="D673" s="16" t="s">
        <v>591</v>
      </c>
      <c r="E673" s="16" t="s">
        <v>387</v>
      </c>
      <c r="F673" s="16"/>
      <c r="G673" s="32">
        <f t="shared" si="66"/>
        <v>500</v>
      </c>
      <c r="H673" s="32">
        <f t="shared" si="66"/>
        <v>500</v>
      </c>
      <c r="I673" s="32">
        <f t="shared" si="64"/>
        <v>100</v>
      </c>
    </row>
    <row r="674" spans="1:9" x14ac:dyDescent="0.2">
      <c r="A674" s="68" t="s">
        <v>239</v>
      </c>
      <c r="B674" s="22" t="s">
        <v>526</v>
      </c>
      <c r="C674" s="22" t="s">
        <v>598</v>
      </c>
      <c r="D674" s="22" t="s">
        <v>591</v>
      </c>
      <c r="E674" s="22" t="s">
        <v>387</v>
      </c>
      <c r="F674" s="22" t="s">
        <v>175</v>
      </c>
      <c r="G674" s="31">
        <f t="shared" si="66"/>
        <v>500</v>
      </c>
      <c r="H674" s="31">
        <f t="shared" si="66"/>
        <v>500</v>
      </c>
      <c r="I674" s="31">
        <f t="shared" si="64"/>
        <v>100</v>
      </c>
    </row>
    <row r="675" spans="1:9" ht="15" customHeight="1" x14ac:dyDescent="0.2">
      <c r="A675" s="68" t="s">
        <v>176</v>
      </c>
      <c r="B675" s="22" t="s">
        <v>526</v>
      </c>
      <c r="C675" s="22" t="s">
        <v>598</v>
      </c>
      <c r="D675" s="22" t="s">
        <v>591</v>
      </c>
      <c r="E675" s="22" t="s">
        <v>387</v>
      </c>
      <c r="F675" s="22" t="s">
        <v>177</v>
      </c>
      <c r="G675" s="31">
        <v>500</v>
      </c>
      <c r="H675" s="31">
        <v>500</v>
      </c>
      <c r="I675" s="31">
        <f t="shared" si="64"/>
        <v>100</v>
      </c>
    </row>
    <row r="676" spans="1:9" s="41" customFormat="1" x14ac:dyDescent="0.2">
      <c r="A676" s="64" t="s">
        <v>497</v>
      </c>
      <c r="B676" s="16" t="s">
        <v>526</v>
      </c>
      <c r="C676" s="16" t="s">
        <v>598</v>
      </c>
      <c r="D676" s="16" t="s">
        <v>592</v>
      </c>
      <c r="E676" s="22"/>
      <c r="F676" s="16"/>
      <c r="G676" s="32">
        <f>G677</f>
        <v>72481.731</v>
      </c>
      <c r="H676" s="32">
        <f>H677</f>
        <v>72441.362999999998</v>
      </c>
      <c r="I676" s="32">
        <f t="shared" si="64"/>
        <v>99.944305965871592</v>
      </c>
    </row>
    <row r="677" spans="1:9" s="38" customFormat="1" ht="27" x14ac:dyDescent="0.2">
      <c r="A677" s="70" t="s">
        <v>439</v>
      </c>
      <c r="B677" s="43" t="s">
        <v>526</v>
      </c>
      <c r="C677" s="43" t="s">
        <v>598</v>
      </c>
      <c r="D677" s="43" t="s">
        <v>592</v>
      </c>
      <c r="E677" s="43" t="s">
        <v>353</v>
      </c>
      <c r="F677" s="43"/>
      <c r="G677" s="47">
        <f>G678+G681+G684+G687</f>
        <v>72481.731</v>
      </c>
      <c r="H677" s="47">
        <f>H678+H681+H684+H687</f>
        <v>72441.362999999998</v>
      </c>
      <c r="I677" s="47">
        <f t="shared" si="64"/>
        <v>99.944305965871592</v>
      </c>
    </row>
    <row r="678" spans="1:9" s="38" customFormat="1" x14ac:dyDescent="0.2">
      <c r="A678" s="61" t="s">
        <v>252</v>
      </c>
      <c r="B678" s="16" t="s">
        <v>526</v>
      </c>
      <c r="C678" s="16" t="s">
        <v>598</v>
      </c>
      <c r="D678" s="16" t="s">
        <v>592</v>
      </c>
      <c r="E678" s="89" t="s">
        <v>6</v>
      </c>
      <c r="F678" s="16"/>
      <c r="G678" s="32">
        <f>G679</f>
        <v>46711.744999999995</v>
      </c>
      <c r="H678" s="32">
        <f>H679</f>
        <v>46671.521000000001</v>
      </c>
      <c r="I678" s="32">
        <f t="shared" si="64"/>
        <v>99.913888894538204</v>
      </c>
    </row>
    <row r="679" spans="1:9" s="38" customFormat="1" x14ac:dyDescent="0.2">
      <c r="A679" s="68" t="s">
        <v>378</v>
      </c>
      <c r="B679" s="22" t="s">
        <v>526</v>
      </c>
      <c r="C679" s="22" t="s">
        <v>598</v>
      </c>
      <c r="D679" s="22" t="s">
        <v>592</v>
      </c>
      <c r="E679" s="80" t="s">
        <v>6</v>
      </c>
      <c r="F679" s="22" t="s">
        <v>175</v>
      </c>
      <c r="G679" s="31">
        <f>G680</f>
        <v>46711.744999999995</v>
      </c>
      <c r="H679" s="31">
        <f>H680</f>
        <v>46671.521000000001</v>
      </c>
      <c r="I679" s="31">
        <f t="shared" si="64"/>
        <v>99.913888894538204</v>
      </c>
    </row>
    <row r="680" spans="1:9" s="38" customFormat="1" ht="15" customHeight="1" x14ac:dyDescent="0.2">
      <c r="A680" s="68" t="s">
        <v>176</v>
      </c>
      <c r="B680" s="22" t="s">
        <v>526</v>
      </c>
      <c r="C680" s="22" t="s">
        <v>598</v>
      </c>
      <c r="D680" s="22" t="s">
        <v>592</v>
      </c>
      <c r="E680" s="80" t="s">
        <v>6</v>
      </c>
      <c r="F680" s="22" t="s">
        <v>177</v>
      </c>
      <c r="G680" s="31">
        <f>39747.7+1200+2000+2500-300+1100+464.045</f>
        <v>46711.744999999995</v>
      </c>
      <c r="H680" s="31">
        <v>46671.521000000001</v>
      </c>
      <c r="I680" s="31">
        <f t="shared" si="64"/>
        <v>99.913888894538204</v>
      </c>
    </row>
    <row r="681" spans="1:9" ht="24" x14ac:dyDescent="0.2">
      <c r="A681" s="64" t="s">
        <v>449</v>
      </c>
      <c r="B681" s="16" t="s">
        <v>526</v>
      </c>
      <c r="C681" s="16" t="s">
        <v>598</v>
      </c>
      <c r="D681" s="16" t="s">
        <v>592</v>
      </c>
      <c r="E681" s="89" t="s">
        <v>7</v>
      </c>
      <c r="F681" s="16"/>
      <c r="G681" s="32">
        <f>G682</f>
        <v>20969.986000000001</v>
      </c>
      <c r="H681" s="32">
        <f>H682</f>
        <v>20969.986000000001</v>
      </c>
      <c r="I681" s="32">
        <f t="shared" si="64"/>
        <v>100</v>
      </c>
    </row>
    <row r="682" spans="1:9" x14ac:dyDescent="0.2">
      <c r="A682" s="68" t="s">
        <v>305</v>
      </c>
      <c r="B682" s="22" t="s">
        <v>526</v>
      </c>
      <c r="C682" s="22" t="s">
        <v>598</v>
      </c>
      <c r="D682" s="22" t="s">
        <v>592</v>
      </c>
      <c r="E682" s="22" t="s">
        <v>7</v>
      </c>
      <c r="F682" s="22" t="s">
        <v>544</v>
      </c>
      <c r="G682" s="31">
        <f>G683</f>
        <v>20969.986000000001</v>
      </c>
      <c r="H682" s="31">
        <f>H683</f>
        <v>20969.986000000001</v>
      </c>
      <c r="I682" s="31">
        <f t="shared" si="64"/>
        <v>100</v>
      </c>
    </row>
    <row r="683" spans="1:9" x14ac:dyDescent="0.2">
      <c r="A683" s="68" t="s">
        <v>545</v>
      </c>
      <c r="B683" s="22" t="s">
        <v>526</v>
      </c>
      <c r="C683" s="22" t="s">
        <v>598</v>
      </c>
      <c r="D683" s="22" t="s">
        <v>592</v>
      </c>
      <c r="E683" s="22" t="s">
        <v>7</v>
      </c>
      <c r="F683" s="22" t="s">
        <v>546</v>
      </c>
      <c r="G683" s="31">
        <f>22645.2-1675.214</f>
        <v>20969.986000000001</v>
      </c>
      <c r="H683" s="31">
        <v>20969.986000000001</v>
      </c>
      <c r="I683" s="31">
        <f t="shared" si="64"/>
        <v>100</v>
      </c>
    </row>
    <row r="684" spans="1:9" x14ac:dyDescent="0.2">
      <c r="A684" s="61" t="s">
        <v>217</v>
      </c>
      <c r="B684" s="16" t="s">
        <v>526</v>
      </c>
      <c r="C684" s="16" t="s">
        <v>598</v>
      </c>
      <c r="D684" s="16" t="s">
        <v>592</v>
      </c>
      <c r="E684" s="89" t="s">
        <v>617</v>
      </c>
      <c r="F684" s="16"/>
      <c r="G684" s="95">
        <f>G685</f>
        <v>1300</v>
      </c>
      <c r="H684" s="95">
        <f>H685</f>
        <v>1299.856</v>
      </c>
      <c r="I684" s="32">
        <f t="shared" si="64"/>
        <v>99.988923076923072</v>
      </c>
    </row>
    <row r="685" spans="1:9" x14ac:dyDescent="0.2">
      <c r="A685" s="68" t="s">
        <v>378</v>
      </c>
      <c r="B685" s="22" t="s">
        <v>526</v>
      </c>
      <c r="C685" s="22" t="s">
        <v>598</v>
      </c>
      <c r="D685" s="22" t="s">
        <v>592</v>
      </c>
      <c r="E685" s="22" t="s">
        <v>617</v>
      </c>
      <c r="F685" s="22" t="s">
        <v>175</v>
      </c>
      <c r="G685" s="96">
        <f>G686</f>
        <v>1300</v>
      </c>
      <c r="H685" s="96">
        <f>H686</f>
        <v>1299.856</v>
      </c>
      <c r="I685" s="31">
        <f t="shared" si="64"/>
        <v>99.988923076923072</v>
      </c>
    </row>
    <row r="686" spans="1:9" ht="15" customHeight="1" x14ac:dyDescent="0.2">
      <c r="A686" s="68" t="s">
        <v>176</v>
      </c>
      <c r="B686" s="22" t="s">
        <v>526</v>
      </c>
      <c r="C686" s="22" t="s">
        <v>598</v>
      </c>
      <c r="D686" s="22" t="s">
        <v>592</v>
      </c>
      <c r="E686" s="22" t="s">
        <v>617</v>
      </c>
      <c r="F686" s="22" t="s">
        <v>177</v>
      </c>
      <c r="G686" s="96">
        <f>200+300+800</f>
        <v>1300</v>
      </c>
      <c r="H686" s="96">
        <v>1299.856</v>
      </c>
      <c r="I686" s="31">
        <f t="shared" si="64"/>
        <v>99.988923076923072</v>
      </c>
    </row>
    <row r="687" spans="1:9" x14ac:dyDescent="0.2">
      <c r="A687" s="64" t="s">
        <v>307</v>
      </c>
      <c r="B687" s="16" t="s">
        <v>526</v>
      </c>
      <c r="C687" s="16" t="s">
        <v>598</v>
      </c>
      <c r="D687" s="16" t="s">
        <v>592</v>
      </c>
      <c r="E687" s="16" t="s">
        <v>618</v>
      </c>
      <c r="F687" s="16"/>
      <c r="G687" s="32">
        <f>G688</f>
        <v>3500</v>
      </c>
      <c r="H687" s="32">
        <f>H688</f>
        <v>3500</v>
      </c>
      <c r="I687" s="32">
        <f t="shared" si="64"/>
        <v>100</v>
      </c>
    </row>
    <row r="688" spans="1:9" x14ac:dyDescent="0.2">
      <c r="A688" s="68" t="s">
        <v>305</v>
      </c>
      <c r="B688" s="22" t="s">
        <v>526</v>
      </c>
      <c r="C688" s="22" t="s">
        <v>598</v>
      </c>
      <c r="D688" s="22" t="s">
        <v>592</v>
      </c>
      <c r="E688" s="22" t="s">
        <v>618</v>
      </c>
      <c r="F688" s="22" t="s">
        <v>544</v>
      </c>
      <c r="G688" s="31">
        <f>G689</f>
        <v>3500</v>
      </c>
      <c r="H688" s="31">
        <f>H689</f>
        <v>3500</v>
      </c>
      <c r="I688" s="31">
        <f t="shared" si="64"/>
        <v>100</v>
      </c>
    </row>
    <row r="689" spans="1:9" x14ac:dyDescent="0.2">
      <c r="A689" s="68" t="s">
        <v>545</v>
      </c>
      <c r="B689" s="22" t="s">
        <v>526</v>
      </c>
      <c r="C689" s="22" t="s">
        <v>598</v>
      </c>
      <c r="D689" s="22" t="s">
        <v>592</v>
      </c>
      <c r="E689" s="22" t="s">
        <v>618</v>
      </c>
      <c r="F689" s="22" t="s">
        <v>546</v>
      </c>
      <c r="G689" s="31">
        <v>3500</v>
      </c>
      <c r="H689" s="31">
        <v>3500</v>
      </c>
      <c r="I689" s="31">
        <f t="shared" si="64"/>
        <v>100</v>
      </c>
    </row>
    <row r="690" spans="1:9" x14ac:dyDescent="0.2">
      <c r="A690" s="64" t="s">
        <v>509</v>
      </c>
      <c r="B690" s="16" t="s">
        <v>526</v>
      </c>
      <c r="C690" s="16" t="s">
        <v>596</v>
      </c>
      <c r="D690" s="16" t="s">
        <v>166</v>
      </c>
      <c r="E690" s="16"/>
      <c r="F690" s="16"/>
      <c r="G690" s="32">
        <f t="shared" ref="G690:H694" si="67">G691</f>
        <v>520</v>
      </c>
      <c r="H690" s="32">
        <f t="shared" si="67"/>
        <v>512.41300000000001</v>
      </c>
      <c r="I690" s="32">
        <f t="shared" si="64"/>
        <v>98.540961538461531</v>
      </c>
    </row>
    <row r="691" spans="1:9" x14ac:dyDescent="0.2">
      <c r="A691" s="64" t="s">
        <v>587</v>
      </c>
      <c r="B691" s="16" t="s">
        <v>526</v>
      </c>
      <c r="C691" s="16" t="s">
        <v>596</v>
      </c>
      <c r="D691" s="16" t="s">
        <v>167</v>
      </c>
      <c r="E691" s="16"/>
      <c r="F691" s="16"/>
      <c r="G691" s="32">
        <f t="shared" si="67"/>
        <v>520</v>
      </c>
      <c r="H691" s="32">
        <f t="shared" si="67"/>
        <v>512.41300000000001</v>
      </c>
      <c r="I691" s="32">
        <f t="shared" si="64"/>
        <v>98.540961538461531</v>
      </c>
    </row>
    <row r="692" spans="1:9" ht="27" x14ac:dyDescent="0.2">
      <c r="A692" s="70" t="s">
        <v>439</v>
      </c>
      <c r="B692" s="43" t="s">
        <v>526</v>
      </c>
      <c r="C692" s="43" t="s">
        <v>596</v>
      </c>
      <c r="D692" s="43" t="s">
        <v>167</v>
      </c>
      <c r="E692" s="43" t="s">
        <v>353</v>
      </c>
      <c r="F692" s="43"/>
      <c r="G692" s="47">
        <f t="shared" si="67"/>
        <v>520</v>
      </c>
      <c r="H692" s="47">
        <f t="shared" si="67"/>
        <v>512.41300000000001</v>
      </c>
      <c r="I692" s="47">
        <f t="shared" si="64"/>
        <v>98.540961538461531</v>
      </c>
    </row>
    <row r="693" spans="1:9" x14ac:dyDescent="0.2">
      <c r="A693" s="61" t="s">
        <v>217</v>
      </c>
      <c r="B693" s="16" t="s">
        <v>526</v>
      </c>
      <c r="C693" s="16" t="s">
        <v>596</v>
      </c>
      <c r="D693" s="16" t="s">
        <v>167</v>
      </c>
      <c r="E693" s="16" t="s">
        <v>617</v>
      </c>
      <c r="F693" s="16"/>
      <c r="G693" s="32">
        <f t="shared" si="67"/>
        <v>520</v>
      </c>
      <c r="H693" s="32">
        <f t="shared" si="67"/>
        <v>512.41300000000001</v>
      </c>
      <c r="I693" s="32">
        <f t="shared" si="64"/>
        <v>98.540961538461531</v>
      </c>
    </row>
    <row r="694" spans="1:9" x14ac:dyDescent="0.2">
      <c r="A694" s="68" t="s">
        <v>378</v>
      </c>
      <c r="B694" s="22" t="s">
        <v>526</v>
      </c>
      <c r="C694" s="22" t="s">
        <v>596</v>
      </c>
      <c r="D694" s="22" t="s">
        <v>167</v>
      </c>
      <c r="E694" s="22" t="s">
        <v>617</v>
      </c>
      <c r="F694" s="22" t="s">
        <v>175</v>
      </c>
      <c r="G694" s="31">
        <f t="shared" si="67"/>
        <v>520</v>
      </c>
      <c r="H694" s="31">
        <f t="shared" si="67"/>
        <v>512.41300000000001</v>
      </c>
      <c r="I694" s="31">
        <f t="shared" si="64"/>
        <v>98.540961538461531</v>
      </c>
    </row>
    <row r="695" spans="1:9" ht="15" customHeight="1" x14ac:dyDescent="0.2">
      <c r="A695" s="68" t="s">
        <v>176</v>
      </c>
      <c r="B695" s="22" t="s">
        <v>526</v>
      </c>
      <c r="C695" s="22" t="s">
        <v>596</v>
      </c>
      <c r="D695" s="22" t="s">
        <v>167</v>
      </c>
      <c r="E695" s="22" t="s">
        <v>617</v>
      </c>
      <c r="F695" s="22" t="s">
        <v>177</v>
      </c>
      <c r="G695" s="31">
        <f>600-80</f>
        <v>520</v>
      </c>
      <c r="H695" s="31">
        <v>512.41300000000001</v>
      </c>
      <c r="I695" s="31">
        <f t="shared" si="64"/>
        <v>98.540961538461531</v>
      </c>
    </row>
    <row r="696" spans="1:9" s="41" customFormat="1" x14ac:dyDescent="0.2">
      <c r="A696" s="64" t="s">
        <v>511</v>
      </c>
      <c r="B696" s="16" t="s">
        <v>526</v>
      </c>
      <c r="C696" s="16" t="s">
        <v>181</v>
      </c>
      <c r="D696" s="16" t="s">
        <v>166</v>
      </c>
      <c r="E696" s="16"/>
      <c r="F696" s="34"/>
      <c r="G696" s="32">
        <f>G697</f>
        <v>2275.6835599999999</v>
      </c>
      <c r="H696" s="32">
        <f>H697</f>
        <v>2275.683</v>
      </c>
      <c r="I696" s="32">
        <f t="shared" ref="I696:I711" si="68">H696/G696*100</f>
        <v>99.999975392009262</v>
      </c>
    </row>
    <row r="697" spans="1:9" s="38" customFormat="1" x14ac:dyDescent="0.2">
      <c r="A697" s="64" t="s">
        <v>235</v>
      </c>
      <c r="B697" s="28">
        <v>606</v>
      </c>
      <c r="C697" s="34" t="s">
        <v>181</v>
      </c>
      <c r="D697" s="34" t="s">
        <v>599</v>
      </c>
      <c r="E697" s="22"/>
      <c r="F697" s="34"/>
      <c r="G697" s="32">
        <f>G698</f>
        <v>2275.6835599999999</v>
      </c>
      <c r="H697" s="32">
        <f>H698</f>
        <v>2275.683</v>
      </c>
      <c r="I697" s="32">
        <f t="shared" si="68"/>
        <v>99.999975392009262</v>
      </c>
    </row>
    <row r="698" spans="1:9" s="38" customFormat="1" ht="27" x14ac:dyDescent="0.2">
      <c r="A698" s="70" t="s">
        <v>439</v>
      </c>
      <c r="B698" s="43" t="s">
        <v>526</v>
      </c>
      <c r="C698" s="43" t="s">
        <v>181</v>
      </c>
      <c r="D698" s="43" t="s">
        <v>599</v>
      </c>
      <c r="E698" s="43" t="s">
        <v>353</v>
      </c>
      <c r="F698" s="43"/>
      <c r="G698" s="47">
        <f>G699+G702</f>
        <v>2275.6835599999999</v>
      </c>
      <c r="H698" s="47">
        <f>H699+H702</f>
        <v>2275.683</v>
      </c>
      <c r="I698" s="47">
        <f t="shared" si="68"/>
        <v>99.999975392009262</v>
      </c>
    </row>
    <row r="699" spans="1:9" s="38" customFormat="1" x14ac:dyDescent="0.2">
      <c r="A699" s="64" t="s">
        <v>9</v>
      </c>
      <c r="B699" s="16" t="s">
        <v>526</v>
      </c>
      <c r="C699" s="16" t="s">
        <v>181</v>
      </c>
      <c r="D699" s="16" t="s">
        <v>599</v>
      </c>
      <c r="E699" s="16" t="s">
        <v>10</v>
      </c>
      <c r="F699" s="16"/>
      <c r="G699" s="32">
        <f>G700</f>
        <v>2267.2249999999999</v>
      </c>
      <c r="H699" s="32">
        <f>H700</f>
        <v>2267.2249999999999</v>
      </c>
      <c r="I699" s="32">
        <f t="shared" si="68"/>
        <v>100</v>
      </c>
    </row>
    <row r="700" spans="1:9" s="38" customFormat="1" x14ac:dyDescent="0.2">
      <c r="A700" s="68" t="s">
        <v>378</v>
      </c>
      <c r="B700" s="23">
        <v>606</v>
      </c>
      <c r="C700" s="42" t="s">
        <v>181</v>
      </c>
      <c r="D700" s="42" t="s">
        <v>599</v>
      </c>
      <c r="E700" s="22" t="s">
        <v>10</v>
      </c>
      <c r="F700" s="22" t="s">
        <v>175</v>
      </c>
      <c r="G700" s="31">
        <f>G701</f>
        <v>2267.2249999999999</v>
      </c>
      <c r="H700" s="31">
        <f>H701</f>
        <v>2267.2249999999999</v>
      </c>
      <c r="I700" s="31">
        <f t="shared" si="68"/>
        <v>100</v>
      </c>
    </row>
    <row r="701" spans="1:9" s="38" customFormat="1" ht="15" customHeight="1" x14ac:dyDescent="0.2">
      <c r="A701" s="68" t="s">
        <v>176</v>
      </c>
      <c r="B701" s="22" t="s">
        <v>526</v>
      </c>
      <c r="C701" s="22" t="s">
        <v>181</v>
      </c>
      <c r="D701" s="22" t="s">
        <v>599</v>
      </c>
      <c r="E701" s="22" t="s">
        <v>10</v>
      </c>
      <c r="F701" s="22" t="s">
        <v>177</v>
      </c>
      <c r="G701" s="31">
        <f>2500-232.775</f>
        <v>2267.2249999999999</v>
      </c>
      <c r="H701" s="31">
        <v>2267.2249999999999</v>
      </c>
      <c r="I701" s="31">
        <f t="shared" si="68"/>
        <v>100</v>
      </c>
    </row>
    <row r="702" spans="1:9" s="38" customFormat="1" x14ac:dyDescent="0.2">
      <c r="A702" s="64" t="s">
        <v>307</v>
      </c>
      <c r="B702" s="16" t="s">
        <v>526</v>
      </c>
      <c r="C702" s="16" t="s">
        <v>181</v>
      </c>
      <c r="D702" s="16" t="s">
        <v>599</v>
      </c>
      <c r="E702" s="16" t="s">
        <v>618</v>
      </c>
      <c r="F702" s="16"/>
      <c r="G702" s="32">
        <f>G703</f>
        <v>8.4585600000000003</v>
      </c>
      <c r="H702" s="32">
        <f>H703</f>
        <v>8.4580000000000002</v>
      </c>
      <c r="I702" s="32">
        <f t="shared" si="68"/>
        <v>99.993379487761516</v>
      </c>
    </row>
    <row r="703" spans="1:9" s="38" customFormat="1" x14ac:dyDescent="0.2">
      <c r="A703" s="68" t="s">
        <v>378</v>
      </c>
      <c r="B703" s="22" t="s">
        <v>526</v>
      </c>
      <c r="C703" s="22" t="s">
        <v>181</v>
      </c>
      <c r="D703" s="22" t="s">
        <v>599</v>
      </c>
      <c r="E703" s="22" t="s">
        <v>618</v>
      </c>
      <c r="F703" s="22" t="s">
        <v>175</v>
      </c>
      <c r="G703" s="31">
        <f>G704</f>
        <v>8.4585600000000003</v>
      </c>
      <c r="H703" s="31">
        <f>H704</f>
        <v>8.4580000000000002</v>
      </c>
      <c r="I703" s="31">
        <f t="shared" si="68"/>
        <v>99.993379487761516</v>
      </c>
    </row>
    <row r="704" spans="1:9" s="38" customFormat="1" ht="15" customHeight="1" x14ac:dyDescent="0.2">
      <c r="A704" s="68" t="s">
        <v>176</v>
      </c>
      <c r="B704" s="22" t="s">
        <v>526</v>
      </c>
      <c r="C704" s="22" t="s">
        <v>181</v>
      </c>
      <c r="D704" s="22" t="s">
        <v>599</v>
      </c>
      <c r="E704" s="22" t="s">
        <v>618</v>
      </c>
      <c r="F704" s="22" t="s">
        <v>177</v>
      </c>
      <c r="G704" s="31">
        <v>8.4585600000000003</v>
      </c>
      <c r="H704" s="31">
        <v>8.4580000000000002</v>
      </c>
      <c r="I704" s="31">
        <f t="shared" si="68"/>
        <v>99.993379487761516</v>
      </c>
    </row>
    <row r="705" spans="1:9" s="38" customFormat="1" ht="31.5" x14ac:dyDescent="0.2">
      <c r="A705" s="63" t="s">
        <v>533</v>
      </c>
      <c r="B705" s="36" t="s">
        <v>534</v>
      </c>
      <c r="C705" s="37"/>
      <c r="D705" s="37"/>
      <c r="E705" s="17"/>
      <c r="F705" s="36"/>
      <c r="G705" s="86">
        <f>G706+G712+G719</f>
        <v>263554.05440000002</v>
      </c>
      <c r="H705" s="86">
        <f>H706+H712+H719</f>
        <v>229233.93199999997</v>
      </c>
      <c r="I705" s="86">
        <f t="shared" si="68"/>
        <v>86.977956959101874</v>
      </c>
    </row>
    <row r="706" spans="1:9" s="38" customFormat="1" x14ac:dyDescent="0.2">
      <c r="A706" s="64" t="s">
        <v>198</v>
      </c>
      <c r="B706" s="16" t="s">
        <v>534</v>
      </c>
      <c r="C706" s="16" t="s">
        <v>165</v>
      </c>
      <c r="D706" s="16" t="s">
        <v>166</v>
      </c>
      <c r="E706" s="16"/>
      <c r="F706" s="16"/>
      <c r="G706" s="32">
        <f t="shared" ref="G706:H709" si="69">G707</f>
        <v>220</v>
      </c>
      <c r="H706" s="32">
        <f t="shared" si="69"/>
        <v>219.95599999999999</v>
      </c>
      <c r="I706" s="32">
        <f t="shared" si="68"/>
        <v>99.97999999999999</v>
      </c>
    </row>
    <row r="707" spans="1:9" s="38" customFormat="1" x14ac:dyDescent="0.2">
      <c r="A707" s="64" t="s">
        <v>405</v>
      </c>
      <c r="B707" s="16" t="s">
        <v>534</v>
      </c>
      <c r="C707" s="16" t="s">
        <v>165</v>
      </c>
      <c r="D707" s="16" t="s">
        <v>184</v>
      </c>
      <c r="E707" s="16"/>
      <c r="F707" s="16"/>
      <c r="G707" s="32">
        <f t="shared" si="69"/>
        <v>220</v>
      </c>
      <c r="H707" s="32">
        <f t="shared" si="69"/>
        <v>219.95599999999999</v>
      </c>
      <c r="I707" s="32">
        <f t="shared" si="68"/>
        <v>99.97999999999999</v>
      </c>
    </row>
    <row r="708" spans="1:9" s="38" customFormat="1" x14ac:dyDescent="0.2">
      <c r="A708" s="64" t="s">
        <v>381</v>
      </c>
      <c r="B708" s="16" t="s">
        <v>534</v>
      </c>
      <c r="C708" s="16" t="s">
        <v>165</v>
      </c>
      <c r="D708" s="16" t="s">
        <v>184</v>
      </c>
      <c r="E708" s="33" t="s">
        <v>294</v>
      </c>
      <c r="F708" s="16"/>
      <c r="G708" s="32">
        <f t="shared" si="69"/>
        <v>220</v>
      </c>
      <c r="H708" s="32">
        <f t="shared" si="69"/>
        <v>219.95599999999999</v>
      </c>
      <c r="I708" s="32">
        <f t="shared" si="68"/>
        <v>99.97999999999999</v>
      </c>
    </row>
    <row r="709" spans="1:9" s="38" customFormat="1" x14ac:dyDescent="0.2">
      <c r="A709" s="67" t="s">
        <v>406</v>
      </c>
      <c r="B709" s="17" t="s">
        <v>534</v>
      </c>
      <c r="C709" s="17" t="s">
        <v>165</v>
      </c>
      <c r="D709" s="17" t="s">
        <v>184</v>
      </c>
      <c r="E709" s="44" t="s">
        <v>104</v>
      </c>
      <c r="F709" s="17"/>
      <c r="G709" s="35">
        <f t="shared" si="69"/>
        <v>220</v>
      </c>
      <c r="H709" s="35">
        <f t="shared" si="69"/>
        <v>219.95599999999999</v>
      </c>
      <c r="I709" s="35">
        <f t="shared" si="68"/>
        <v>99.97999999999999</v>
      </c>
    </row>
    <row r="710" spans="1:9" s="38" customFormat="1" x14ac:dyDescent="0.2">
      <c r="A710" s="68" t="s">
        <v>178</v>
      </c>
      <c r="B710" s="22" t="s">
        <v>534</v>
      </c>
      <c r="C710" s="22" t="s">
        <v>165</v>
      </c>
      <c r="D710" s="22" t="s">
        <v>184</v>
      </c>
      <c r="E710" s="30" t="s">
        <v>104</v>
      </c>
      <c r="F710" s="22" t="s">
        <v>179</v>
      </c>
      <c r="G710" s="31">
        <f>G711</f>
        <v>220</v>
      </c>
      <c r="H710" s="31">
        <f>H711</f>
        <v>219.95599999999999</v>
      </c>
      <c r="I710" s="31">
        <f t="shared" si="68"/>
        <v>99.97999999999999</v>
      </c>
    </row>
    <row r="711" spans="1:9" s="38" customFormat="1" x14ac:dyDescent="0.2">
      <c r="A711" s="68" t="s">
        <v>228</v>
      </c>
      <c r="B711" s="22" t="s">
        <v>534</v>
      </c>
      <c r="C711" s="22" t="s">
        <v>165</v>
      </c>
      <c r="D711" s="22" t="s">
        <v>184</v>
      </c>
      <c r="E711" s="30" t="s">
        <v>104</v>
      </c>
      <c r="F711" s="22" t="s">
        <v>232</v>
      </c>
      <c r="G711" s="31">
        <f>980-250-510</f>
        <v>220</v>
      </c>
      <c r="H711" s="31">
        <v>219.95599999999999</v>
      </c>
      <c r="I711" s="31">
        <f t="shared" si="68"/>
        <v>99.97999999999999</v>
      </c>
    </row>
    <row r="712" spans="1:9" s="38" customFormat="1" x14ac:dyDescent="0.2">
      <c r="A712" s="64" t="s">
        <v>475</v>
      </c>
      <c r="B712" s="16" t="s">
        <v>534</v>
      </c>
      <c r="C712" s="16" t="s">
        <v>167</v>
      </c>
      <c r="D712" s="16" t="s">
        <v>166</v>
      </c>
      <c r="E712" s="17"/>
      <c r="F712" s="17"/>
      <c r="G712" s="32">
        <f t="shared" ref="G712:H717" si="70">G713</f>
        <v>3500</v>
      </c>
      <c r="H712" s="32">
        <f t="shared" si="70"/>
        <v>3200.241</v>
      </c>
      <c r="I712" s="32">
        <f t="shared" ref="I712:I743" si="71">H712/G712*100</f>
        <v>91.435457142857146</v>
      </c>
    </row>
    <row r="713" spans="1:9" s="38" customFormat="1" x14ac:dyDescent="0.2">
      <c r="A713" s="64" t="s">
        <v>518</v>
      </c>
      <c r="B713" s="16" t="s">
        <v>534</v>
      </c>
      <c r="C713" s="16" t="s">
        <v>167</v>
      </c>
      <c r="D713" s="16" t="s">
        <v>597</v>
      </c>
      <c r="E713" s="17"/>
      <c r="F713" s="17"/>
      <c r="G713" s="32">
        <f t="shared" si="70"/>
        <v>3500</v>
      </c>
      <c r="H713" s="32">
        <f t="shared" si="70"/>
        <v>3200.241</v>
      </c>
      <c r="I713" s="32">
        <f t="shared" si="71"/>
        <v>91.435457142857146</v>
      </c>
    </row>
    <row r="714" spans="1:9" s="38" customFormat="1" ht="27" x14ac:dyDescent="0.2">
      <c r="A714" s="70" t="s">
        <v>49</v>
      </c>
      <c r="B714" s="43" t="s">
        <v>534</v>
      </c>
      <c r="C714" s="43" t="s">
        <v>167</v>
      </c>
      <c r="D714" s="43" t="s">
        <v>597</v>
      </c>
      <c r="E714" s="43" t="s">
        <v>320</v>
      </c>
      <c r="F714" s="43"/>
      <c r="G714" s="47">
        <f t="shared" si="70"/>
        <v>3500</v>
      </c>
      <c r="H714" s="47">
        <f t="shared" si="70"/>
        <v>3200.241</v>
      </c>
      <c r="I714" s="35">
        <f t="shared" si="71"/>
        <v>91.435457142857146</v>
      </c>
    </row>
    <row r="715" spans="1:9" s="38" customFormat="1" x14ac:dyDescent="0.2">
      <c r="A715" s="64" t="s">
        <v>322</v>
      </c>
      <c r="B715" s="16" t="s">
        <v>534</v>
      </c>
      <c r="C715" s="16" t="s">
        <v>167</v>
      </c>
      <c r="D715" s="16" t="s">
        <v>597</v>
      </c>
      <c r="E715" s="16" t="s">
        <v>321</v>
      </c>
      <c r="F715" s="22"/>
      <c r="G715" s="32">
        <f t="shared" si="70"/>
        <v>3500</v>
      </c>
      <c r="H715" s="32">
        <f t="shared" si="70"/>
        <v>3200.241</v>
      </c>
      <c r="I715" s="32">
        <f t="shared" si="71"/>
        <v>91.435457142857146</v>
      </c>
    </row>
    <row r="716" spans="1:9" s="38" customFormat="1" x14ac:dyDescent="0.2">
      <c r="A716" s="103" t="s">
        <v>530</v>
      </c>
      <c r="B716" s="17" t="s">
        <v>534</v>
      </c>
      <c r="C716" s="17" t="s">
        <v>167</v>
      </c>
      <c r="D716" s="17" t="s">
        <v>597</v>
      </c>
      <c r="E716" s="102" t="s">
        <v>50</v>
      </c>
      <c r="F716" s="17"/>
      <c r="G716" s="35">
        <f t="shared" si="70"/>
        <v>3500</v>
      </c>
      <c r="H716" s="35">
        <f t="shared" si="70"/>
        <v>3200.241</v>
      </c>
      <c r="I716" s="35">
        <f t="shared" si="71"/>
        <v>91.435457142857146</v>
      </c>
    </row>
    <row r="717" spans="1:9" s="38" customFormat="1" x14ac:dyDescent="0.2">
      <c r="A717" s="68" t="s">
        <v>378</v>
      </c>
      <c r="B717" s="22" t="s">
        <v>534</v>
      </c>
      <c r="C717" s="22" t="s">
        <v>167</v>
      </c>
      <c r="D717" s="22" t="s">
        <v>597</v>
      </c>
      <c r="E717" s="22" t="s">
        <v>50</v>
      </c>
      <c r="F717" s="22" t="s">
        <v>175</v>
      </c>
      <c r="G717" s="31">
        <f t="shared" si="70"/>
        <v>3500</v>
      </c>
      <c r="H717" s="31">
        <f t="shared" si="70"/>
        <v>3200.241</v>
      </c>
      <c r="I717" s="31">
        <f t="shared" si="71"/>
        <v>91.435457142857146</v>
      </c>
    </row>
    <row r="718" spans="1:9" s="38" customFormat="1" ht="15" customHeight="1" x14ac:dyDescent="0.2">
      <c r="A718" s="68" t="s">
        <v>176</v>
      </c>
      <c r="B718" s="22" t="s">
        <v>534</v>
      </c>
      <c r="C718" s="22" t="s">
        <v>167</v>
      </c>
      <c r="D718" s="22" t="s">
        <v>597</v>
      </c>
      <c r="E718" s="22" t="s">
        <v>50</v>
      </c>
      <c r="F718" s="22" t="s">
        <v>177</v>
      </c>
      <c r="G718" s="31">
        <f>2000+1500</f>
        <v>3500</v>
      </c>
      <c r="H718" s="31">
        <v>3200.241</v>
      </c>
      <c r="I718" s="31">
        <f t="shared" si="71"/>
        <v>91.435457142857146</v>
      </c>
    </row>
    <row r="719" spans="1:9" s="39" customFormat="1" x14ac:dyDescent="0.2">
      <c r="A719" s="64" t="s">
        <v>487</v>
      </c>
      <c r="B719" s="16" t="s">
        <v>534</v>
      </c>
      <c r="C719" s="16" t="s">
        <v>542</v>
      </c>
      <c r="D719" s="16" t="s">
        <v>166</v>
      </c>
      <c r="E719" s="16"/>
      <c r="F719" s="16"/>
      <c r="G719" s="32">
        <f>G720+G740+G759+G773</f>
        <v>259834.05439999999</v>
      </c>
      <c r="H719" s="32">
        <f>H720+H740+H759+H773</f>
        <v>225813.73499999999</v>
      </c>
      <c r="I719" s="32">
        <f t="shared" si="71"/>
        <v>86.906905071177604</v>
      </c>
    </row>
    <row r="720" spans="1:9" s="38" customFormat="1" x14ac:dyDescent="0.2">
      <c r="A720" s="64" t="s">
        <v>488</v>
      </c>
      <c r="B720" s="16" t="s">
        <v>534</v>
      </c>
      <c r="C720" s="16" t="s">
        <v>542</v>
      </c>
      <c r="D720" s="16" t="s">
        <v>165</v>
      </c>
      <c r="E720" s="17"/>
      <c r="F720" s="17"/>
      <c r="G720" s="32">
        <f>G721</f>
        <v>38954</v>
      </c>
      <c r="H720" s="32">
        <f>H721</f>
        <v>38012.955000000002</v>
      </c>
      <c r="I720" s="32">
        <f t="shared" si="71"/>
        <v>97.584214714791813</v>
      </c>
    </row>
    <row r="721" spans="1:9" s="39" customFormat="1" ht="27" x14ac:dyDescent="0.2">
      <c r="A721" s="70" t="s">
        <v>49</v>
      </c>
      <c r="B721" s="43" t="s">
        <v>534</v>
      </c>
      <c r="C721" s="43" t="s">
        <v>542</v>
      </c>
      <c r="D721" s="43" t="s">
        <v>165</v>
      </c>
      <c r="E721" s="43" t="s">
        <v>320</v>
      </c>
      <c r="F721" s="17"/>
      <c r="G721" s="47">
        <f>G722+G726+G733</f>
        <v>38954</v>
      </c>
      <c r="H721" s="47">
        <f>H722+H726+H733</f>
        <v>38012.955000000002</v>
      </c>
      <c r="I721" s="47">
        <f t="shared" si="71"/>
        <v>97.584214714791813</v>
      </c>
    </row>
    <row r="722" spans="1:9" s="39" customFormat="1" x14ac:dyDescent="0.2">
      <c r="A722" s="64" t="s">
        <v>148</v>
      </c>
      <c r="B722" s="16" t="s">
        <v>534</v>
      </c>
      <c r="C722" s="16" t="s">
        <v>542</v>
      </c>
      <c r="D722" s="16" t="s">
        <v>165</v>
      </c>
      <c r="E722" s="16" t="s">
        <v>323</v>
      </c>
      <c r="F722" s="16"/>
      <c r="G722" s="32">
        <f t="shared" ref="G722:H724" si="72">G723</f>
        <v>7000</v>
      </c>
      <c r="H722" s="32">
        <f t="shared" si="72"/>
        <v>6751.5889999999999</v>
      </c>
      <c r="I722" s="32">
        <f t="shared" si="71"/>
        <v>96.451271428571431</v>
      </c>
    </row>
    <row r="723" spans="1:9" s="39" customFormat="1" x14ac:dyDescent="0.2">
      <c r="A723" s="101" t="s">
        <v>324</v>
      </c>
      <c r="B723" s="17" t="s">
        <v>534</v>
      </c>
      <c r="C723" s="17" t="s">
        <v>542</v>
      </c>
      <c r="D723" s="17" t="s">
        <v>165</v>
      </c>
      <c r="E723" s="102" t="s">
        <v>51</v>
      </c>
      <c r="F723" s="17"/>
      <c r="G723" s="35">
        <f t="shared" si="72"/>
        <v>7000</v>
      </c>
      <c r="H723" s="35">
        <f t="shared" si="72"/>
        <v>6751.5889999999999</v>
      </c>
      <c r="I723" s="35">
        <f t="shared" si="71"/>
        <v>96.451271428571431</v>
      </c>
    </row>
    <row r="724" spans="1:9" s="39" customFormat="1" x14ac:dyDescent="0.2">
      <c r="A724" s="68" t="s">
        <v>378</v>
      </c>
      <c r="B724" s="22" t="s">
        <v>534</v>
      </c>
      <c r="C724" s="22" t="s">
        <v>542</v>
      </c>
      <c r="D724" s="22" t="s">
        <v>165</v>
      </c>
      <c r="E724" s="22" t="s">
        <v>51</v>
      </c>
      <c r="F724" s="22" t="s">
        <v>175</v>
      </c>
      <c r="G724" s="31">
        <f t="shared" si="72"/>
        <v>7000</v>
      </c>
      <c r="H724" s="31">
        <f t="shared" si="72"/>
        <v>6751.5889999999999</v>
      </c>
      <c r="I724" s="31">
        <f t="shared" si="71"/>
        <v>96.451271428571431</v>
      </c>
    </row>
    <row r="725" spans="1:9" s="39" customFormat="1" ht="15" customHeight="1" x14ac:dyDescent="0.2">
      <c r="A725" s="68" t="s">
        <v>176</v>
      </c>
      <c r="B725" s="22" t="s">
        <v>534</v>
      </c>
      <c r="C725" s="22" t="s">
        <v>542</v>
      </c>
      <c r="D725" s="22" t="s">
        <v>165</v>
      </c>
      <c r="E725" s="22" t="s">
        <v>51</v>
      </c>
      <c r="F725" s="22" t="s">
        <v>177</v>
      </c>
      <c r="G725" s="31">
        <v>7000</v>
      </c>
      <c r="H725" s="31">
        <v>6751.5889999999999</v>
      </c>
      <c r="I725" s="31">
        <f t="shared" si="71"/>
        <v>96.451271428571431</v>
      </c>
    </row>
    <row r="726" spans="1:9" s="39" customFormat="1" ht="15" customHeight="1" x14ac:dyDescent="0.2">
      <c r="A726" s="64" t="s">
        <v>229</v>
      </c>
      <c r="B726" s="16" t="s">
        <v>563</v>
      </c>
      <c r="C726" s="16" t="s">
        <v>542</v>
      </c>
      <c r="D726" s="16" t="s">
        <v>165</v>
      </c>
      <c r="E726" s="16" t="s">
        <v>212</v>
      </c>
      <c r="F726" s="22"/>
      <c r="G726" s="32">
        <f>G727+G730</f>
        <v>23754</v>
      </c>
      <c r="H726" s="32">
        <f>H727+H730</f>
        <v>23754</v>
      </c>
      <c r="I726" s="32">
        <f t="shared" si="71"/>
        <v>100</v>
      </c>
    </row>
    <row r="727" spans="1:9" s="39" customFormat="1" ht="24" x14ac:dyDescent="0.2">
      <c r="A727" s="67" t="s">
        <v>562</v>
      </c>
      <c r="B727" s="17" t="s">
        <v>534</v>
      </c>
      <c r="C727" s="17" t="s">
        <v>542</v>
      </c>
      <c r="D727" s="17" t="s">
        <v>165</v>
      </c>
      <c r="E727" s="17" t="s">
        <v>57</v>
      </c>
      <c r="F727" s="17"/>
      <c r="G727" s="35">
        <f>G728</f>
        <v>18885</v>
      </c>
      <c r="H727" s="35">
        <f>H728</f>
        <v>18885</v>
      </c>
      <c r="I727" s="35">
        <f t="shared" si="71"/>
        <v>100</v>
      </c>
    </row>
    <row r="728" spans="1:9" s="39" customFormat="1" ht="24" x14ac:dyDescent="0.2">
      <c r="A728" s="68" t="s">
        <v>191</v>
      </c>
      <c r="B728" s="22" t="s">
        <v>534</v>
      </c>
      <c r="C728" s="22" t="s">
        <v>542</v>
      </c>
      <c r="D728" s="22" t="s">
        <v>165</v>
      </c>
      <c r="E728" s="22" t="s">
        <v>57</v>
      </c>
      <c r="F728" s="22" t="s">
        <v>522</v>
      </c>
      <c r="G728" s="31">
        <f>G729</f>
        <v>18885</v>
      </c>
      <c r="H728" s="31">
        <f>H729</f>
        <v>18885</v>
      </c>
      <c r="I728" s="31">
        <f t="shared" si="71"/>
        <v>100</v>
      </c>
    </row>
    <row r="729" spans="1:9" s="39" customFormat="1" ht="24" x14ac:dyDescent="0.2">
      <c r="A729" s="68" t="s">
        <v>220</v>
      </c>
      <c r="B729" s="22" t="s">
        <v>534</v>
      </c>
      <c r="C729" s="22" t="s">
        <v>542</v>
      </c>
      <c r="D729" s="22" t="s">
        <v>165</v>
      </c>
      <c r="E729" s="22" t="s">
        <v>57</v>
      </c>
      <c r="F729" s="22" t="s">
        <v>582</v>
      </c>
      <c r="G729" s="31">
        <f>10495+30000-1500-110-20000</f>
        <v>18885</v>
      </c>
      <c r="H729" s="31">
        <v>18885</v>
      </c>
      <c r="I729" s="31">
        <f t="shared" si="71"/>
        <v>100</v>
      </c>
    </row>
    <row r="730" spans="1:9" s="39" customFormat="1" ht="24" x14ac:dyDescent="0.2">
      <c r="A730" s="67" t="s">
        <v>237</v>
      </c>
      <c r="B730" s="17" t="s">
        <v>534</v>
      </c>
      <c r="C730" s="17" t="s">
        <v>542</v>
      </c>
      <c r="D730" s="17" t="s">
        <v>165</v>
      </c>
      <c r="E730" s="17" t="s">
        <v>56</v>
      </c>
      <c r="F730" s="17"/>
      <c r="G730" s="100">
        <f>G731</f>
        <v>4869</v>
      </c>
      <c r="H730" s="100">
        <f>H731</f>
        <v>4869</v>
      </c>
      <c r="I730" s="35">
        <f t="shared" si="71"/>
        <v>100</v>
      </c>
    </row>
    <row r="731" spans="1:9" s="39" customFormat="1" x14ac:dyDescent="0.2">
      <c r="A731" s="68" t="s">
        <v>378</v>
      </c>
      <c r="B731" s="22" t="s">
        <v>534</v>
      </c>
      <c r="C731" s="22" t="s">
        <v>542</v>
      </c>
      <c r="D731" s="22" t="s">
        <v>165</v>
      </c>
      <c r="E731" s="22" t="s">
        <v>56</v>
      </c>
      <c r="F731" s="22" t="s">
        <v>175</v>
      </c>
      <c r="G731" s="96">
        <f>G732</f>
        <v>4869</v>
      </c>
      <c r="H731" s="96">
        <f>H732</f>
        <v>4869</v>
      </c>
      <c r="I731" s="31">
        <f t="shared" si="71"/>
        <v>100</v>
      </c>
    </row>
    <row r="732" spans="1:9" s="39" customFormat="1" ht="15" customHeight="1" x14ac:dyDescent="0.2">
      <c r="A732" s="68" t="s">
        <v>176</v>
      </c>
      <c r="B732" s="22" t="s">
        <v>534</v>
      </c>
      <c r="C732" s="22" t="s">
        <v>542</v>
      </c>
      <c r="D732" s="22" t="s">
        <v>165</v>
      </c>
      <c r="E732" s="22" t="s">
        <v>56</v>
      </c>
      <c r="F732" s="22" t="s">
        <v>177</v>
      </c>
      <c r="G732" s="96">
        <f>2510+2500-141</f>
        <v>4869</v>
      </c>
      <c r="H732" s="96">
        <v>4869</v>
      </c>
      <c r="I732" s="31">
        <f t="shared" si="71"/>
        <v>100</v>
      </c>
    </row>
    <row r="733" spans="1:9" s="39" customFormat="1" x14ac:dyDescent="0.2">
      <c r="A733" s="64" t="s">
        <v>52</v>
      </c>
      <c r="B733" s="16" t="s">
        <v>563</v>
      </c>
      <c r="C733" s="16" t="s">
        <v>542</v>
      </c>
      <c r="D733" s="16" t="s">
        <v>165</v>
      </c>
      <c r="E733" s="16" t="s">
        <v>53</v>
      </c>
      <c r="F733" s="22"/>
      <c r="G733" s="32">
        <f>G734+G737</f>
        <v>8200</v>
      </c>
      <c r="H733" s="32">
        <f>H734+H737</f>
        <v>7507.366</v>
      </c>
      <c r="I733" s="32">
        <f t="shared" si="71"/>
        <v>91.553243902439021</v>
      </c>
    </row>
    <row r="734" spans="1:9" s="39" customFormat="1" ht="36" x14ac:dyDescent="0.2">
      <c r="A734" s="104" t="s">
        <v>623</v>
      </c>
      <c r="B734" s="17" t="s">
        <v>563</v>
      </c>
      <c r="C734" s="17" t="s">
        <v>542</v>
      </c>
      <c r="D734" s="17" t="s">
        <v>165</v>
      </c>
      <c r="E734" s="17" t="s">
        <v>54</v>
      </c>
      <c r="F734" s="17"/>
      <c r="G734" s="35">
        <f>G735</f>
        <v>700</v>
      </c>
      <c r="H734" s="35">
        <f>H735</f>
        <v>586.05999999999995</v>
      </c>
      <c r="I734" s="35">
        <f t="shared" si="71"/>
        <v>83.722857142857137</v>
      </c>
    </row>
    <row r="735" spans="1:9" s="39" customFormat="1" x14ac:dyDescent="0.2">
      <c r="A735" s="68" t="s">
        <v>378</v>
      </c>
      <c r="B735" s="22" t="s">
        <v>534</v>
      </c>
      <c r="C735" s="22" t="s">
        <v>542</v>
      </c>
      <c r="D735" s="22" t="s">
        <v>165</v>
      </c>
      <c r="E735" s="22" t="s">
        <v>54</v>
      </c>
      <c r="F735" s="22" t="s">
        <v>175</v>
      </c>
      <c r="G735" s="31">
        <f>G736</f>
        <v>700</v>
      </c>
      <c r="H735" s="31">
        <f>H736</f>
        <v>586.05999999999995</v>
      </c>
      <c r="I735" s="31">
        <f t="shared" si="71"/>
        <v>83.722857142857137</v>
      </c>
    </row>
    <row r="736" spans="1:9" s="39" customFormat="1" ht="15" customHeight="1" x14ac:dyDescent="0.2">
      <c r="A736" s="68" t="s">
        <v>176</v>
      </c>
      <c r="B736" s="22" t="s">
        <v>534</v>
      </c>
      <c r="C736" s="22" t="s">
        <v>542</v>
      </c>
      <c r="D736" s="22" t="s">
        <v>165</v>
      </c>
      <c r="E736" s="22" t="s">
        <v>54</v>
      </c>
      <c r="F736" s="22" t="s">
        <v>177</v>
      </c>
      <c r="G736" s="31">
        <f>200+500</f>
        <v>700</v>
      </c>
      <c r="H736" s="31">
        <v>586.05999999999995</v>
      </c>
      <c r="I736" s="31">
        <f t="shared" si="71"/>
        <v>83.722857142857137</v>
      </c>
    </row>
    <row r="737" spans="1:9" s="39" customFormat="1" x14ac:dyDescent="0.2">
      <c r="A737" s="101" t="s">
        <v>325</v>
      </c>
      <c r="B737" s="17" t="s">
        <v>563</v>
      </c>
      <c r="C737" s="17" t="s">
        <v>542</v>
      </c>
      <c r="D737" s="17" t="s">
        <v>165</v>
      </c>
      <c r="E737" s="102" t="s">
        <v>55</v>
      </c>
      <c r="F737" s="17"/>
      <c r="G737" s="35">
        <f>G738</f>
        <v>7500</v>
      </c>
      <c r="H737" s="35">
        <f>H738</f>
        <v>6921.3059999999996</v>
      </c>
      <c r="I737" s="35">
        <f t="shared" si="71"/>
        <v>92.284079999999989</v>
      </c>
    </row>
    <row r="738" spans="1:9" s="39" customFormat="1" x14ac:dyDescent="0.2">
      <c r="A738" s="68" t="s">
        <v>378</v>
      </c>
      <c r="B738" s="22" t="s">
        <v>534</v>
      </c>
      <c r="C738" s="22" t="s">
        <v>542</v>
      </c>
      <c r="D738" s="22" t="s">
        <v>165</v>
      </c>
      <c r="E738" s="22" t="s">
        <v>55</v>
      </c>
      <c r="F738" s="22" t="s">
        <v>175</v>
      </c>
      <c r="G738" s="31">
        <f>G739</f>
        <v>7500</v>
      </c>
      <c r="H738" s="31">
        <f>H739</f>
        <v>6921.3059999999996</v>
      </c>
      <c r="I738" s="31">
        <f t="shared" si="71"/>
        <v>92.284079999999989</v>
      </c>
    </row>
    <row r="739" spans="1:9" s="39" customFormat="1" ht="15" customHeight="1" x14ac:dyDescent="0.2">
      <c r="A739" s="68" t="s">
        <v>176</v>
      </c>
      <c r="B739" s="22" t="s">
        <v>534</v>
      </c>
      <c r="C739" s="22" t="s">
        <v>542</v>
      </c>
      <c r="D739" s="22" t="s">
        <v>165</v>
      </c>
      <c r="E739" s="22" t="s">
        <v>55</v>
      </c>
      <c r="F739" s="22" t="s">
        <v>177</v>
      </c>
      <c r="G739" s="31">
        <f>1000+6500</f>
        <v>7500</v>
      </c>
      <c r="H739" s="31">
        <v>6921.3059999999996</v>
      </c>
      <c r="I739" s="31">
        <f t="shared" si="71"/>
        <v>92.284079999999989</v>
      </c>
    </row>
    <row r="740" spans="1:9" x14ac:dyDescent="0.2">
      <c r="A740" s="64" t="s">
        <v>489</v>
      </c>
      <c r="B740" s="16" t="s">
        <v>534</v>
      </c>
      <c r="C740" s="16" t="s">
        <v>542</v>
      </c>
      <c r="D740" s="16" t="s">
        <v>599</v>
      </c>
      <c r="E740" s="16"/>
      <c r="F740" s="16"/>
      <c r="G740" s="32">
        <f>G741</f>
        <v>63200</v>
      </c>
      <c r="H740" s="32">
        <f>H741</f>
        <v>30773.98</v>
      </c>
      <c r="I740" s="32">
        <f t="shared" si="71"/>
        <v>48.693006329113928</v>
      </c>
    </row>
    <row r="741" spans="1:9" x14ac:dyDescent="0.2">
      <c r="A741" s="67" t="s">
        <v>490</v>
      </c>
      <c r="B741" s="17" t="s">
        <v>534</v>
      </c>
      <c r="C741" s="17" t="s">
        <v>542</v>
      </c>
      <c r="D741" s="17" t="s">
        <v>599</v>
      </c>
      <c r="E741" s="17"/>
      <c r="F741" s="17"/>
      <c r="G741" s="35">
        <f>G742</f>
        <v>63200</v>
      </c>
      <c r="H741" s="35">
        <f>H742</f>
        <v>30773.98</v>
      </c>
      <c r="I741" s="35">
        <f t="shared" si="71"/>
        <v>48.693006329113928</v>
      </c>
    </row>
    <row r="742" spans="1:9" s="39" customFormat="1" ht="27" x14ac:dyDescent="0.2">
      <c r="A742" s="70" t="s">
        <v>49</v>
      </c>
      <c r="B742" s="43" t="s">
        <v>534</v>
      </c>
      <c r="C742" s="43" t="s">
        <v>542</v>
      </c>
      <c r="D742" s="43" t="s">
        <v>599</v>
      </c>
      <c r="E742" s="43" t="s">
        <v>320</v>
      </c>
      <c r="F742" s="17"/>
      <c r="G742" s="47">
        <f>G743+G750+G756</f>
        <v>63200</v>
      </c>
      <c r="H742" s="47">
        <f>H743+H750+H756</f>
        <v>30773.98</v>
      </c>
      <c r="I742" s="47">
        <f t="shared" si="71"/>
        <v>48.693006329113928</v>
      </c>
    </row>
    <row r="743" spans="1:9" s="39" customFormat="1" ht="27" x14ac:dyDescent="0.2">
      <c r="A743" s="70" t="s">
        <v>210</v>
      </c>
      <c r="B743" s="43" t="s">
        <v>534</v>
      </c>
      <c r="C743" s="43" t="s">
        <v>542</v>
      </c>
      <c r="D743" s="43" t="s">
        <v>599</v>
      </c>
      <c r="E743" s="43" t="s">
        <v>326</v>
      </c>
      <c r="F743" s="17"/>
      <c r="G743" s="47">
        <f>G744+G747</f>
        <v>3000</v>
      </c>
      <c r="H743" s="47">
        <f>H744+H747</f>
        <v>1899.749</v>
      </c>
      <c r="I743" s="47">
        <f t="shared" si="71"/>
        <v>63.324966666666668</v>
      </c>
    </row>
    <row r="744" spans="1:9" s="39" customFormat="1" x14ac:dyDescent="0.2">
      <c r="A744" s="64" t="s">
        <v>453</v>
      </c>
      <c r="B744" s="16" t="s">
        <v>534</v>
      </c>
      <c r="C744" s="16" t="s">
        <v>542</v>
      </c>
      <c r="D744" s="16" t="s">
        <v>599</v>
      </c>
      <c r="E744" s="16" t="s">
        <v>454</v>
      </c>
      <c r="F744" s="22"/>
      <c r="G744" s="95">
        <f>G745</f>
        <v>1100</v>
      </c>
      <c r="H744" s="95">
        <f>H745</f>
        <v>0</v>
      </c>
      <c r="I744" s="135">
        <f t="shared" ref="I744:I775" si="73">H744/G744*100</f>
        <v>0</v>
      </c>
    </row>
    <row r="745" spans="1:9" s="39" customFormat="1" ht="24" x14ac:dyDescent="0.2">
      <c r="A745" s="68" t="s">
        <v>543</v>
      </c>
      <c r="B745" s="23">
        <v>609</v>
      </c>
      <c r="C745" s="42" t="s">
        <v>542</v>
      </c>
      <c r="D745" s="42" t="s">
        <v>599</v>
      </c>
      <c r="E745" s="22" t="s">
        <v>454</v>
      </c>
      <c r="F745" s="22" t="s">
        <v>544</v>
      </c>
      <c r="G745" s="96">
        <f>G746</f>
        <v>1100</v>
      </c>
      <c r="H745" s="96">
        <f>H746</f>
        <v>0</v>
      </c>
      <c r="I745" s="135">
        <f t="shared" si="73"/>
        <v>0</v>
      </c>
    </row>
    <row r="746" spans="1:9" s="39" customFormat="1" x14ac:dyDescent="0.2">
      <c r="A746" s="68" t="s">
        <v>545</v>
      </c>
      <c r="B746" s="22" t="s">
        <v>534</v>
      </c>
      <c r="C746" s="22" t="s">
        <v>542</v>
      </c>
      <c r="D746" s="22" t="s">
        <v>599</v>
      </c>
      <c r="E746" s="22" t="s">
        <v>454</v>
      </c>
      <c r="F746" s="22" t="s">
        <v>546</v>
      </c>
      <c r="G746" s="96">
        <v>1100</v>
      </c>
      <c r="H746" s="96">
        <v>0</v>
      </c>
      <c r="I746" s="135">
        <f t="shared" si="73"/>
        <v>0</v>
      </c>
    </row>
    <row r="747" spans="1:9" s="39" customFormat="1" ht="24" x14ac:dyDescent="0.2">
      <c r="A747" s="64" t="s">
        <v>529</v>
      </c>
      <c r="B747" s="16" t="s">
        <v>534</v>
      </c>
      <c r="C747" s="16" t="s">
        <v>542</v>
      </c>
      <c r="D747" s="16" t="s">
        <v>599</v>
      </c>
      <c r="E747" s="16" t="s">
        <v>60</v>
      </c>
      <c r="F747" s="16"/>
      <c r="G747" s="95">
        <f>G748</f>
        <v>1900</v>
      </c>
      <c r="H747" s="95">
        <f>H748</f>
        <v>1899.749</v>
      </c>
      <c r="I747" s="32">
        <f t="shared" si="73"/>
        <v>99.986789473684212</v>
      </c>
    </row>
    <row r="748" spans="1:9" s="39" customFormat="1" x14ac:dyDescent="0.2">
      <c r="A748" s="68" t="s">
        <v>378</v>
      </c>
      <c r="B748" s="22" t="s">
        <v>534</v>
      </c>
      <c r="C748" s="22" t="s">
        <v>542</v>
      </c>
      <c r="D748" s="22" t="s">
        <v>599</v>
      </c>
      <c r="E748" s="22" t="s">
        <v>60</v>
      </c>
      <c r="F748" s="22" t="s">
        <v>175</v>
      </c>
      <c r="G748" s="96">
        <f>G749</f>
        <v>1900</v>
      </c>
      <c r="H748" s="96">
        <f>H749</f>
        <v>1899.749</v>
      </c>
      <c r="I748" s="31">
        <f t="shared" si="73"/>
        <v>99.986789473684212</v>
      </c>
    </row>
    <row r="749" spans="1:9" s="39" customFormat="1" ht="15" customHeight="1" x14ac:dyDescent="0.2">
      <c r="A749" s="68" t="s">
        <v>176</v>
      </c>
      <c r="B749" s="22" t="s">
        <v>534</v>
      </c>
      <c r="C749" s="22" t="s">
        <v>542</v>
      </c>
      <c r="D749" s="22" t="s">
        <v>599</v>
      </c>
      <c r="E749" s="22" t="s">
        <v>60</v>
      </c>
      <c r="F749" s="22" t="s">
        <v>177</v>
      </c>
      <c r="G749" s="96">
        <f>1000+900</f>
        <v>1900</v>
      </c>
      <c r="H749" s="96">
        <v>1899.749</v>
      </c>
      <c r="I749" s="31">
        <f t="shared" si="73"/>
        <v>99.986789473684212</v>
      </c>
    </row>
    <row r="750" spans="1:9" s="39" customFormat="1" ht="24" x14ac:dyDescent="0.2">
      <c r="A750" s="64" t="s">
        <v>531</v>
      </c>
      <c r="B750" s="16" t="s">
        <v>534</v>
      </c>
      <c r="C750" s="16" t="s">
        <v>542</v>
      </c>
      <c r="D750" s="16" t="s">
        <v>599</v>
      </c>
      <c r="E750" s="16" t="s">
        <v>230</v>
      </c>
      <c r="F750" s="22"/>
      <c r="G750" s="32">
        <f>G751</f>
        <v>59700</v>
      </c>
      <c r="H750" s="32">
        <f>H751</f>
        <v>28391.398000000001</v>
      </c>
      <c r="I750" s="32">
        <f t="shared" si="73"/>
        <v>47.556780569514238</v>
      </c>
    </row>
    <row r="751" spans="1:9" s="39" customFormat="1" ht="24" x14ac:dyDescent="0.2">
      <c r="A751" s="67" t="s">
        <v>532</v>
      </c>
      <c r="B751" s="17" t="s">
        <v>534</v>
      </c>
      <c r="C751" s="17" t="s">
        <v>542</v>
      </c>
      <c r="D751" s="17" t="s">
        <v>599</v>
      </c>
      <c r="E751" s="17" t="s">
        <v>58</v>
      </c>
      <c r="F751" s="25"/>
      <c r="G751" s="35">
        <f>G752+G754</f>
        <v>59700</v>
      </c>
      <c r="H751" s="35">
        <f>H752+H754</f>
        <v>28391.398000000001</v>
      </c>
      <c r="I751" s="35">
        <f t="shared" si="73"/>
        <v>47.556780569514238</v>
      </c>
    </row>
    <row r="752" spans="1:9" s="39" customFormat="1" x14ac:dyDescent="0.2">
      <c r="A752" s="68" t="s">
        <v>378</v>
      </c>
      <c r="B752" s="22" t="s">
        <v>534</v>
      </c>
      <c r="C752" s="22" t="s">
        <v>542</v>
      </c>
      <c r="D752" s="22" t="s">
        <v>599</v>
      </c>
      <c r="E752" s="22" t="s">
        <v>58</v>
      </c>
      <c r="F752" s="22" t="s">
        <v>175</v>
      </c>
      <c r="G752" s="31">
        <f>G753</f>
        <v>15260</v>
      </c>
      <c r="H752" s="31">
        <f>H753</f>
        <v>15191.397999999999</v>
      </c>
      <c r="I752" s="31">
        <f t="shared" si="73"/>
        <v>99.550445609436437</v>
      </c>
    </row>
    <row r="753" spans="1:9" s="39" customFormat="1" ht="15" customHeight="1" x14ac:dyDescent="0.2">
      <c r="A753" s="68" t="s">
        <v>176</v>
      </c>
      <c r="B753" s="22" t="s">
        <v>534</v>
      </c>
      <c r="C753" s="22" t="s">
        <v>542</v>
      </c>
      <c r="D753" s="22" t="s">
        <v>599</v>
      </c>
      <c r="E753" s="22" t="s">
        <v>58</v>
      </c>
      <c r="F753" s="22" t="s">
        <v>177</v>
      </c>
      <c r="G753" s="31">
        <f>3000+500+4760+7000</f>
        <v>15260</v>
      </c>
      <c r="H753" s="31">
        <v>15191.397999999999</v>
      </c>
      <c r="I753" s="31">
        <f t="shared" si="73"/>
        <v>99.550445609436437</v>
      </c>
    </row>
    <row r="754" spans="1:9" s="39" customFormat="1" ht="24" x14ac:dyDescent="0.2">
      <c r="A754" s="68" t="s">
        <v>543</v>
      </c>
      <c r="B754" s="23">
        <v>609</v>
      </c>
      <c r="C754" s="42" t="s">
        <v>542</v>
      </c>
      <c r="D754" s="42" t="s">
        <v>599</v>
      </c>
      <c r="E754" s="22" t="s">
        <v>58</v>
      </c>
      <c r="F754" s="22" t="s">
        <v>544</v>
      </c>
      <c r="G754" s="31">
        <f>G755</f>
        <v>44440</v>
      </c>
      <c r="H754" s="31">
        <f>H755</f>
        <v>13200</v>
      </c>
      <c r="I754" s="31">
        <f t="shared" si="73"/>
        <v>29.702970297029701</v>
      </c>
    </row>
    <row r="755" spans="1:9" s="39" customFormat="1" x14ac:dyDescent="0.2">
      <c r="A755" s="68" t="s">
        <v>545</v>
      </c>
      <c r="B755" s="22" t="s">
        <v>534</v>
      </c>
      <c r="C755" s="22" t="s">
        <v>542</v>
      </c>
      <c r="D755" s="22" t="s">
        <v>599</v>
      </c>
      <c r="E755" s="22" t="s">
        <v>58</v>
      </c>
      <c r="F755" s="22" t="s">
        <v>546</v>
      </c>
      <c r="G755" s="31">
        <f>40600+8600-4760</f>
        <v>44440</v>
      </c>
      <c r="H755" s="31">
        <v>13200</v>
      </c>
      <c r="I755" s="31">
        <f t="shared" si="73"/>
        <v>29.702970297029701</v>
      </c>
    </row>
    <row r="756" spans="1:9" s="39" customFormat="1" ht="12.75" customHeight="1" x14ac:dyDescent="0.2">
      <c r="A756" s="64" t="s">
        <v>231</v>
      </c>
      <c r="B756" s="16" t="s">
        <v>534</v>
      </c>
      <c r="C756" s="16" t="s">
        <v>542</v>
      </c>
      <c r="D756" s="16" t="s">
        <v>599</v>
      </c>
      <c r="E756" s="16" t="s">
        <v>59</v>
      </c>
      <c r="F756" s="16"/>
      <c r="G756" s="32">
        <f>G757</f>
        <v>500</v>
      </c>
      <c r="H756" s="32">
        <f>H757</f>
        <v>482.83300000000003</v>
      </c>
      <c r="I756" s="32">
        <f t="shared" si="73"/>
        <v>96.566600000000008</v>
      </c>
    </row>
    <row r="757" spans="1:9" s="39" customFormat="1" x14ac:dyDescent="0.2">
      <c r="A757" s="68" t="s">
        <v>378</v>
      </c>
      <c r="B757" s="22" t="s">
        <v>534</v>
      </c>
      <c r="C757" s="22" t="s">
        <v>542</v>
      </c>
      <c r="D757" s="22" t="s">
        <v>599</v>
      </c>
      <c r="E757" s="22" t="s">
        <v>59</v>
      </c>
      <c r="F757" s="22" t="s">
        <v>175</v>
      </c>
      <c r="G757" s="31">
        <f>G758</f>
        <v>500</v>
      </c>
      <c r="H757" s="31">
        <f>H758</f>
        <v>482.83300000000003</v>
      </c>
      <c r="I757" s="31">
        <f t="shared" si="73"/>
        <v>96.566600000000008</v>
      </c>
    </row>
    <row r="758" spans="1:9" s="39" customFormat="1" ht="15" customHeight="1" x14ac:dyDescent="0.2">
      <c r="A758" s="68" t="s">
        <v>176</v>
      </c>
      <c r="B758" s="22" t="s">
        <v>534</v>
      </c>
      <c r="C758" s="22" t="s">
        <v>542</v>
      </c>
      <c r="D758" s="22" t="s">
        <v>599</v>
      </c>
      <c r="E758" s="22" t="s">
        <v>59</v>
      </c>
      <c r="F758" s="22" t="s">
        <v>177</v>
      </c>
      <c r="G758" s="31">
        <f>1000-500</f>
        <v>500</v>
      </c>
      <c r="H758" s="31">
        <v>482.83300000000003</v>
      </c>
      <c r="I758" s="31">
        <f t="shared" si="73"/>
        <v>96.566600000000008</v>
      </c>
    </row>
    <row r="759" spans="1:9" s="38" customFormat="1" x14ac:dyDescent="0.2">
      <c r="A759" s="64" t="s">
        <v>491</v>
      </c>
      <c r="B759" s="16" t="s">
        <v>534</v>
      </c>
      <c r="C759" s="16" t="s">
        <v>542</v>
      </c>
      <c r="D759" s="16" t="s">
        <v>591</v>
      </c>
      <c r="E759" s="16"/>
      <c r="F759" s="16"/>
      <c r="G759" s="32">
        <f>G760</f>
        <v>136387.2464</v>
      </c>
      <c r="H759" s="32">
        <f>H760</f>
        <v>135992.74599999998</v>
      </c>
      <c r="I759" s="32">
        <f t="shared" si="73"/>
        <v>99.710749787525572</v>
      </c>
    </row>
    <row r="760" spans="1:9" s="38" customFormat="1" ht="27" x14ac:dyDescent="0.2">
      <c r="A760" s="70" t="s">
        <v>49</v>
      </c>
      <c r="B760" s="43" t="s">
        <v>534</v>
      </c>
      <c r="C760" s="43" t="s">
        <v>542</v>
      </c>
      <c r="D760" s="43" t="s">
        <v>591</v>
      </c>
      <c r="E760" s="43" t="s">
        <v>320</v>
      </c>
      <c r="F760" s="43"/>
      <c r="G760" s="47">
        <f>G761</f>
        <v>136387.2464</v>
      </c>
      <c r="H760" s="47">
        <f>H761</f>
        <v>135992.74599999998</v>
      </c>
      <c r="I760" s="35">
        <f t="shared" si="73"/>
        <v>99.710749787525572</v>
      </c>
    </row>
    <row r="761" spans="1:9" s="38" customFormat="1" ht="12.75" customHeight="1" x14ac:dyDescent="0.2">
      <c r="A761" s="64" t="s">
        <v>560</v>
      </c>
      <c r="B761" s="16" t="s">
        <v>563</v>
      </c>
      <c r="C761" s="16" t="s">
        <v>542</v>
      </c>
      <c r="D761" s="16" t="s">
        <v>591</v>
      </c>
      <c r="E761" s="16" t="s">
        <v>212</v>
      </c>
      <c r="F761" s="16"/>
      <c r="G761" s="32">
        <f>G762+G767+G770</f>
        <v>136387.2464</v>
      </c>
      <c r="H761" s="32">
        <f>H762+H767+H770</f>
        <v>135992.74599999998</v>
      </c>
      <c r="I761" s="32">
        <f t="shared" si="73"/>
        <v>99.710749787525572</v>
      </c>
    </row>
    <row r="762" spans="1:9" s="38" customFormat="1" ht="15" customHeight="1" x14ac:dyDescent="0.2">
      <c r="A762" s="67" t="s">
        <v>149</v>
      </c>
      <c r="B762" s="17" t="s">
        <v>563</v>
      </c>
      <c r="C762" s="17" t="s">
        <v>542</v>
      </c>
      <c r="D762" s="17" t="s">
        <v>591</v>
      </c>
      <c r="E762" s="17" t="s">
        <v>61</v>
      </c>
      <c r="F762" s="25"/>
      <c r="G762" s="35">
        <f>G763+G765</f>
        <v>24387.2464</v>
      </c>
      <c r="H762" s="35">
        <f>H763+H765</f>
        <v>24133.105000000003</v>
      </c>
      <c r="I762" s="35">
        <f t="shared" si="73"/>
        <v>98.957892187450909</v>
      </c>
    </row>
    <row r="763" spans="1:9" s="38" customFormat="1" x14ac:dyDescent="0.2">
      <c r="A763" s="68" t="s">
        <v>378</v>
      </c>
      <c r="B763" s="22" t="s">
        <v>534</v>
      </c>
      <c r="C763" s="22" t="s">
        <v>542</v>
      </c>
      <c r="D763" s="22" t="s">
        <v>591</v>
      </c>
      <c r="E763" s="22" t="s">
        <v>61</v>
      </c>
      <c r="F763" s="22" t="s">
        <v>175</v>
      </c>
      <c r="G763" s="31">
        <f>G764</f>
        <v>319.63299999999998</v>
      </c>
      <c r="H763" s="31">
        <f>H764</f>
        <v>319.63299999999998</v>
      </c>
      <c r="I763" s="31">
        <f t="shared" si="73"/>
        <v>100</v>
      </c>
    </row>
    <row r="764" spans="1:9" s="38" customFormat="1" ht="15" customHeight="1" x14ac:dyDescent="0.2">
      <c r="A764" s="68" t="s">
        <v>176</v>
      </c>
      <c r="B764" s="22" t="s">
        <v>534</v>
      </c>
      <c r="C764" s="22" t="s">
        <v>542</v>
      </c>
      <c r="D764" s="22" t="s">
        <v>591</v>
      </c>
      <c r="E764" s="22" t="s">
        <v>61</v>
      </c>
      <c r="F764" s="22" t="s">
        <v>177</v>
      </c>
      <c r="G764" s="31">
        <v>319.63299999999998</v>
      </c>
      <c r="H764" s="31">
        <v>319.63299999999998</v>
      </c>
      <c r="I764" s="31">
        <f t="shared" si="73"/>
        <v>100</v>
      </c>
    </row>
    <row r="765" spans="1:9" s="38" customFormat="1" ht="24" x14ac:dyDescent="0.2">
      <c r="A765" s="68" t="s">
        <v>191</v>
      </c>
      <c r="B765" s="22" t="s">
        <v>534</v>
      </c>
      <c r="C765" s="22" t="s">
        <v>542</v>
      </c>
      <c r="D765" s="22" t="s">
        <v>591</v>
      </c>
      <c r="E765" s="22" t="s">
        <v>61</v>
      </c>
      <c r="F765" s="22" t="s">
        <v>522</v>
      </c>
      <c r="G765" s="31">
        <f>G766</f>
        <v>24067.613399999998</v>
      </c>
      <c r="H765" s="31">
        <f>H766</f>
        <v>23813.472000000002</v>
      </c>
      <c r="I765" s="31">
        <f t="shared" si="73"/>
        <v>98.944052342140438</v>
      </c>
    </row>
    <row r="766" spans="1:9" s="38" customFormat="1" x14ac:dyDescent="0.2">
      <c r="A766" s="68" t="s">
        <v>192</v>
      </c>
      <c r="B766" s="22" t="s">
        <v>534</v>
      </c>
      <c r="C766" s="22" t="s">
        <v>542</v>
      </c>
      <c r="D766" s="22" t="s">
        <v>591</v>
      </c>
      <c r="E766" s="22" t="s">
        <v>61</v>
      </c>
      <c r="F766" s="22" t="s">
        <v>536</v>
      </c>
      <c r="G766" s="31">
        <f>21500+2282.2464-319.633+605</f>
        <v>24067.613399999998</v>
      </c>
      <c r="H766" s="31">
        <v>23813.472000000002</v>
      </c>
      <c r="I766" s="31">
        <f t="shared" si="73"/>
        <v>98.944052342140438</v>
      </c>
    </row>
    <row r="767" spans="1:9" s="41" customFormat="1" x14ac:dyDescent="0.2">
      <c r="A767" s="67" t="s">
        <v>327</v>
      </c>
      <c r="B767" s="17" t="s">
        <v>534</v>
      </c>
      <c r="C767" s="17" t="s">
        <v>542</v>
      </c>
      <c r="D767" s="17" t="s">
        <v>591</v>
      </c>
      <c r="E767" s="17" t="s">
        <v>62</v>
      </c>
      <c r="F767" s="17"/>
      <c r="G767" s="35">
        <f>G768</f>
        <v>78000</v>
      </c>
      <c r="H767" s="35">
        <f>H768</f>
        <v>77859.680999999997</v>
      </c>
      <c r="I767" s="35">
        <f t="shared" si="73"/>
        <v>99.820103846153842</v>
      </c>
    </row>
    <row r="768" spans="1:9" s="38" customFormat="1" x14ac:dyDescent="0.2">
      <c r="A768" s="68" t="s">
        <v>378</v>
      </c>
      <c r="B768" s="22" t="s">
        <v>534</v>
      </c>
      <c r="C768" s="22" t="s">
        <v>542</v>
      </c>
      <c r="D768" s="22" t="s">
        <v>591</v>
      </c>
      <c r="E768" s="22" t="s">
        <v>62</v>
      </c>
      <c r="F768" s="22" t="s">
        <v>175</v>
      </c>
      <c r="G768" s="31">
        <f>G769</f>
        <v>78000</v>
      </c>
      <c r="H768" s="31">
        <f>H769</f>
        <v>77859.680999999997</v>
      </c>
      <c r="I768" s="31">
        <f t="shared" si="73"/>
        <v>99.820103846153842</v>
      </c>
    </row>
    <row r="769" spans="1:9" ht="15" customHeight="1" x14ac:dyDescent="0.2">
      <c r="A769" s="68" t="s">
        <v>176</v>
      </c>
      <c r="B769" s="22" t="s">
        <v>534</v>
      </c>
      <c r="C769" s="22" t="s">
        <v>542</v>
      </c>
      <c r="D769" s="22" t="s">
        <v>591</v>
      </c>
      <c r="E769" s="22" t="s">
        <v>62</v>
      </c>
      <c r="F769" s="22" t="s">
        <v>177</v>
      </c>
      <c r="G769" s="31">
        <f>70000+10000-2000</f>
        <v>78000</v>
      </c>
      <c r="H769" s="31">
        <v>77859.680999999997</v>
      </c>
      <c r="I769" s="31">
        <f t="shared" si="73"/>
        <v>99.820103846153842</v>
      </c>
    </row>
    <row r="770" spans="1:9" ht="36" x14ac:dyDescent="0.2">
      <c r="A770" s="51" t="s">
        <v>456</v>
      </c>
      <c r="B770" s="17" t="s">
        <v>534</v>
      </c>
      <c r="C770" s="17" t="s">
        <v>542</v>
      </c>
      <c r="D770" s="17" t="s">
        <v>591</v>
      </c>
      <c r="E770" s="17" t="s">
        <v>63</v>
      </c>
      <c r="F770" s="17"/>
      <c r="G770" s="100">
        <f>G771</f>
        <v>34000</v>
      </c>
      <c r="H770" s="100">
        <f>H771</f>
        <v>33999.96</v>
      </c>
      <c r="I770" s="35">
        <f t="shared" si="73"/>
        <v>99.999882352941171</v>
      </c>
    </row>
    <row r="771" spans="1:9" x14ac:dyDescent="0.2">
      <c r="A771" s="68" t="s">
        <v>178</v>
      </c>
      <c r="B771" s="22" t="s">
        <v>534</v>
      </c>
      <c r="C771" s="22" t="s">
        <v>542</v>
      </c>
      <c r="D771" s="22" t="s">
        <v>591</v>
      </c>
      <c r="E771" s="22" t="s">
        <v>63</v>
      </c>
      <c r="F771" s="22" t="s">
        <v>179</v>
      </c>
      <c r="G771" s="96">
        <f>G772</f>
        <v>34000</v>
      </c>
      <c r="H771" s="96">
        <f>H772</f>
        <v>33999.96</v>
      </c>
      <c r="I771" s="31">
        <f t="shared" si="73"/>
        <v>99.999882352941171</v>
      </c>
    </row>
    <row r="772" spans="1:9" ht="24" x14ac:dyDescent="0.2">
      <c r="A772" s="68" t="s">
        <v>86</v>
      </c>
      <c r="B772" s="22" t="s">
        <v>534</v>
      </c>
      <c r="C772" s="22" t="s">
        <v>542</v>
      </c>
      <c r="D772" s="22" t="s">
        <v>591</v>
      </c>
      <c r="E772" s="22" t="s">
        <v>63</v>
      </c>
      <c r="F772" s="22" t="s">
        <v>540</v>
      </c>
      <c r="G772" s="96">
        <v>34000</v>
      </c>
      <c r="H772" s="96">
        <v>33999.96</v>
      </c>
      <c r="I772" s="31">
        <f t="shared" si="73"/>
        <v>99.999882352941171</v>
      </c>
    </row>
    <row r="773" spans="1:9" s="40" customFormat="1" x14ac:dyDescent="0.2">
      <c r="A773" s="64" t="s">
        <v>492</v>
      </c>
      <c r="B773" s="16" t="s">
        <v>534</v>
      </c>
      <c r="C773" s="16" t="s">
        <v>542</v>
      </c>
      <c r="D773" s="16" t="s">
        <v>542</v>
      </c>
      <c r="E773" s="16"/>
      <c r="F773" s="16"/>
      <c r="G773" s="32">
        <f>G774+G794</f>
        <v>21292.808000000001</v>
      </c>
      <c r="H773" s="32">
        <f>H774+H794</f>
        <v>21034.054</v>
      </c>
      <c r="I773" s="32">
        <f t="shared" si="73"/>
        <v>98.784782166823646</v>
      </c>
    </row>
    <row r="774" spans="1:9" s="41" customFormat="1" ht="27" x14ac:dyDescent="0.2">
      <c r="A774" s="70" t="s">
        <v>49</v>
      </c>
      <c r="B774" s="43" t="s">
        <v>534</v>
      </c>
      <c r="C774" s="43" t="s">
        <v>542</v>
      </c>
      <c r="D774" s="43" t="s">
        <v>542</v>
      </c>
      <c r="E774" s="43" t="s">
        <v>320</v>
      </c>
      <c r="F774" s="43"/>
      <c r="G774" s="47">
        <f>G775+G786</f>
        <v>21019</v>
      </c>
      <c r="H774" s="47">
        <f>H775+H786</f>
        <v>20760.245999999999</v>
      </c>
      <c r="I774" s="47">
        <f t="shared" si="73"/>
        <v>98.768951900661307</v>
      </c>
    </row>
    <row r="775" spans="1:9" s="41" customFormat="1" ht="14.25" customHeight="1" x14ac:dyDescent="0.2">
      <c r="A775" s="64" t="s">
        <v>560</v>
      </c>
      <c r="B775" s="16" t="s">
        <v>534</v>
      </c>
      <c r="C775" s="16" t="s">
        <v>542</v>
      </c>
      <c r="D775" s="16" t="s">
        <v>542</v>
      </c>
      <c r="E775" s="16" t="s">
        <v>212</v>
      </c>
      <c r="F775" s="22"/>
      <c r="G775" s="32">
        <f>G776</f>
        <v>14708</v>
      </c>
      <c r="H775" s="32">
        <f>H776</f>
        <v>14460.620999999999</v>
      </c>
      <c r="I775" s="32">
        <f t="shared" si="73"/>
        <v>98.318064998640182</v>
      </c>
    </row>
    <row r="776" spans="1:9" s="41" customFormat="1" ht="24" x14ac:dyDescent="0.2">
      <c r="A776" s="64" t="s">
        <v>329</v>
      </c>
      <c r="B776" s="16" t="s">
        <v>534</v>
      </c>
      <c r="C776" s="16" t="s">
        <v>542</v>
      </c>
      <c r="D776" s="16" t="s">
        <v>542</v>
      </c>
      <c r="E776" s="16" t="s">
        <v>212</v>
      </c>
      <c r="F776" s="22"/>
      <c r="G776" s="32">
        <f>G777</f>
        <v>14708</v>
      </c>
      <c r="H776" s="32">
        <f>H777</f>
        <v>14460.620999999999</v>
      </c>
      <c r="I776" s="32">
        <f t="shared" ref="I776:I807" si="74">H776/G776*100</f>
        <v>98.318064998640182</v>
      </c>
    </row>
    <row r="777" spans="1:9" s="41" customFormat="1" ht="24" x14ac:dyDescent="0.2">
      <c r="A777" s="67" t="s">
        <v>524</v>
      </c>
      <c r="B777" s="17" t="s">
        <v>534</v>
      </c>
      <c r="C777" s="17" t="s">
        <v>542</v>
      </c>
      <c r="D777" s="17" t="s">
        <v>542</v>
      </c>
      <c r="E777" s="17" t="s">
        <v>212</v>
      </c>
      <c r="F777" s="17"/>
      <c r="G777" s="35">
        <f>G778+G781</f>
        <v>14708</v>
      </c>
      <c r="H777" s="35">
        <f>H778+H781</f>
        <v>14460.620999999999</v>
      </c>
      <c r="I777" s="35">
        <f t="shared" si="74"/>
        <v>98.318064998640182</v>
      </c>
    </row>
    <row r="778" spans="1:9" s="38" customFormat="1" x14ac:dyDescent="0.2">
      <c r="A778" s="66" t="s">
        <v>505</v>
      </c>
      <c r="B778" s="16" t="s">
        <v>534</v>
      </c>
      <c r="C778" s="16" t="s">
        <v>542</v>
      </c>
      <c r="D778" s="16" t="s">
        <v>542</v>
      </c>
      <c r="E778" s="16" t="s">
        <v>64</v>
      </c>
      <c r="F778" s="16"/>
      <c r="G778" s="32">
        <f>G779</f>
        <v>13166</v>
      </c>
      <c r="H778" s="32">
        <f>H779</f>
        <v>13163.657999999999</v>
      </c>
      <c r="I778" s="32">
        <f t="shared" si="74"/>
        <v>99.982211757557337</v>
      </c>
    </row>
    <row r="779" spans="1:9" s="38" customFormat="1" ht="36" x14ac:dyDescent="0.2">
      <c r="A779" s="68" t="s">
        <v>168</v>
      </c>
      <c r="B779" s="22" t="s">
        <v>534</v>
      </c>
      <c r="C779" s="22" t="s">
        <v>542</v>
      </c>
      <c r="D779" s="22" t="s">
        <v>542</v>
      </c>
      <c r="E779" s="22" t="s">
        <v>64</v>
      </c>
      <c r="F779" s="22" t="s">
        <v>169</v>
      </c>
      <c r="G779" s="31">
        <f>G780</f>
        <v>13166</v>
      </c>
      <c r="H779" s="31">
        <f>H780</f>
        <v>13163.657999999999</v>
      </c>
      <c r="I779" s="31">
        <f t="shared" si="74"/>
        <v>99.982211757557337</v>
      </c>
    </row>
    <row r="780" spans="1:9" s="38" customFormat="1" x14ac:dyDescent="0.2">
      <c r="A780" s="68" t="s">
        <v>170</v>
      </c>
      <c r="B780" s="22" t="s">
        <v>534</v>
      </c>
      <c r="C780" s="22" t="s">
        <v>542</v>
      </c>
      <c r="D780" s="22" t="s">
        <v>542</v>
      </c>
      <c r="E780" s="22" t="s">
        <v>64</v>
      </c>
      <c r="F780" s="22" t="s">
        <v>173</v>
      </c>
      <c r="G780" s="31">
        <f>8600+2698+1565+250+53</f>
        <v>13166</v>
      </c>
      <c r="H780" s="31">
        <v>13163.657999999999</v>
      </c>
      <c r="I780" s="31">
        <f t="shared" si="74"/>
        <v>99.982211757557337</v>
      </c>
    </row>
    <row r="781" spans="1:9" x14ac:dyDescent="0.2">
      <c r="A781" s="64" t="s">
        <v>174</v>
      </c>
      <c r="B781" s="16" t="s">
        <v>534</v>
      </c>
      <c r="C781" s="16" t="s">
        <v>542</v>
      </c>
      <c r="D781" s="16" t="s">
        <v>542</v>
      </c>
      <c r="E781" s="16" t="s">
        <v>65</v>
      </c>
      <c r="F781" s="16"/>
      <c r="G781" s="32">
        <f>G782+G784</f>
        <v>1542</v>
      </c>
      <c r="H781" s="32">
        <f>H782+H784</f>
        <v>1296.963</v>
      </c>
      <c r="I781" s="32">
        <f t="shared" si="74"/>
        <v>84.109143968871592</v>
      </c>
    </row>
    <row r="782" spans="1:9" x14ac:dyDescent="0.2">
      <c r="A782" s="68" t="s">
        <v>378</v>
      </c>
      <c r="B782" s="22" t="s">
        <v>534</v>
      </c>
      <c r="C782" s="22" t="s">
        <v>542</v>
      </c>
      <c r="D782" s="22" t="s">
        <v>542</v>
      </c>
      <c r="E782" s="22" t="s">
        <v>65</v>
      </c>
      <c r="F782" s="22" t="s">
        <v>175</v>
      </c>
      <c r="G782" s="31">
        <f>G783</f>
        <v>1322</v>
      </c>
      <c r="H782" s="31">
        <f>H783</f>
        <v>1121.116</v>
      </c>
      <c r="I782" s="31">
        <f t="shared" si="74"/>
        <v>84.804538577912254</v>
      </c>
    </row>
    <row r="783" spans="1:9" ht="15" customHeight="1" x14ac:dyDescent="0.2">
      <c r="A783" s="68" t="s">
        <v>176</v>
      </c>
      <c r="B783" s="22" t="s">
        <v>534</v>
      </c>
      <c r="C783" s="22" t="s">
        <v>542</v>
      </c>
      <c r="D783" s="22" t="s">
        <v>542</v>
      </c>
      <c r="E783" s="22" t="s">
        <v>65</v>
      </c>
      <c r="F783" s="22" t="s">
        <v>177</v>
      </c>
      <c r="G783" s="31">
        <v>1322</v>
      </c>
      <c r="H783" s="31">
        <v>1121.116</v>
      </c>
      <c r="I783" s="31">
        <f t="shared" si="74"/>
        <v>84.804538577912254</v>
      </c>
    </row>
    <row r="784" spans="1:9" x14ac:dyDescent="0.2">
      <c r="A784" s="68" t="s">
        <v>178</v>
      </c>
      <c r="B784" s="22" t="s">
        <v>534</v>
      </c>
      <c r="C784" s="22" t="s">
        <v>542</v>
      </c>
      <c r="D784" s="22" t="s">
        <v>542</v>
      </c>
      <c r="E784" s="22" t="s">
        <v>65</v>
      </c>
      <c r="F784" s="22" t="s">
        <v>179</v>
      </c>
      <c r="G784" s="31">
        <f>G785</f>
        <v>220</v>
      </c>
      <c r="H784" s="31">
        <f>H785</f>
        <v>175.84700000000001</v>
      </c>
      <c r="I784" s="31">
        <f t="shared" si="74"/>
        <v>79.930454545454552</v>
      </c>
    </row>
    <row r="785" spans="1:9" x14ac:dyDescent="0.2">
      <c r="A785" s="68" t="s">
        <v>87</v>
      </c>
      <c r="B785" s="22" t="s">
        <v>534</v>
      </c>
      <c r="C785" s="22" t="s">
        <v>542</v>
      </c>
      <c r="D785" s="22" t="s">
        <v>542</v>
      </c>
      <c r="E785" s="22" t="s">
        <v>65</v>
      </c>
      <c r="F785" s="22" t="s">
        <v>180</v>
      </c>
      <c r="G785" s="31">
        <f>30+190</f>
        <v>220</v>
      </c>
      <c r="H785" s="31">
        <v>175.84700000000001</v>
      </c>
      <c r="I785" s="31">
        <f t="shared" si="74"/>
        <v>79.930454545454552</v>
      </c>
    </row>
    <row r="786" spans="1:9" ht="13.5" customHeight="1" x14ac:dyDescent="0.2">
      <c r="A786" s="61" t="s">
        <v>150</v>
      </c>
      <c r="B786" s="16" t="s">
        <v>534</v>
      </c>
      <c r="C786" s="16" t="s">
        <v>542</v>
      </c>
      <c r="D786" s="16" t="s">
        <v>542</v>
      </c>
      <c r="E786" s="33" t="s">
        <v>66</v>
      </c>
      <c r="F786" s="16"/>
      <c r="G786" s="32">
        <f>G787</f>
        <v>6311</v>
      </c>
      <c r="H786" s="32">
        <f>H787</f>
        <v>6299.625</v>
      </c>
      <c r="I786" s="32">
        <f t="shared" si="74"/>
        <v>99.819759150689265</v>
      </c>
    </row>
    <row r="787" spans="1:9" x14ac:dyDescent="0.2">
      <c r="A787" s="69" t="s">
        <v>593</v>
      </c>
      <c r="B787" s="25" t="s">
        <v>534</v>
      </c>
      <c r="C787" s="25" t="s">
        <v>542</v>
      </c>
      <c r="D787" s="25" t="s">
        <v>542</v>
      </c>
      <c r="E787" s="25" t="s">
        <v>66</v>
      </c>
      <c r="F787" s="25"/>
      <c r="G787" s="85">
        <f>G788+G790+G792</f>
        <v>6311</v>
      </c>
      <c r="H787" s="85">
        <f>H788+H790+H792</f>
        <v>6299.625</v>
      </c>
      <c r="I787" s="85">
        <f t="shared" si="74"/>
        <v>99.819759150689265</v>
      </c>
    </row>
    <row r="788" spans="1:9" ht="36" x14ac:dyDescent="0.2">
      <c r="A788" s="68" t="s">
        <v>168</v>
      </c>
      <c r="B788" s="22" t="s">
        <v>534</v>
      </c>
      <c r="C788" s="22" t="s">
        <v>542</v>
      </c>
      <c r="D788" s="22" t="s">
        <v>542</v>
      </c>
      <c r="E788" s="22" t="s">
        <v>66</v>
      </c>
      <c r="F788" s="22" t="s">
        <v>169</v>
      </c>
      <c r="G788" s="31">
        <f>G789</f>
        <v>4638</v>
      </c>
      <c r="H788" s="31">
        <f>H789</f>
        <v>4638</v>
      </c>
      <c r="I788" s="31">
        <f t="shared" si="74"/>
        <v>100</v>
      </c>
    </row>
    <row r="789" spans="1:9" x14ac:dyDescent="0.2">
      <c r="A789" s="68" t="s">
        <v>594</v>
      </c>
      <c r="B789" s="22" t="s">
        <v>534</v>
      </c>
      <c r="C789" s="22" t="s">
        <v>542</v>
      </c>
      <c r="D789" s="22" t="s">
        <v>542</v>
      </c>
      <c r="E789" s="22" t="s">
        <v>66</v>
      </c>
      <c r="F789" s="22" t="s">
        <v>595</v>
      </c>
      <c r="G789" s="31">
        <f>2500+750+1000+300+88</f>
        <v>4638</v>
      </c>
      <c r="H789" s="31">
        <v>4638</v>
      </c>
      <c r="I789" s="31">
        <f t="shared" si="74"/>
        <v>100</v>
      </c>
    </row>
    <row r="790" spans="1:9" x14ac:dyDescent="0.2">
      <c r="A790" s="68" t="s">
        <v>378</v>
      </c>
      <c r="B790" s="22" t="s">
        <v>534</v>
      </c>
      <c r="C790" s="22" t="s">
        <v>542</v>
      </c>
      <c r="D790" s="22" t="s">
        <v>542</v>
      </c>
      <c r="E790" s="22" t="s">
        <v>66</v>
      </c>
      <c r="F790" s="22" t="s">
        <v>175</v>
      </c>
      <c r="G790" s="31">
        <f>G791</f>
        <v>1149.79</v>
      </c>
      <c r="H790" s="31">
        <f>H791</f>
        <v>1138.8589999999999</v>
      </c>
      <c r="I790" s="31">
        <f t="shared" si="74"/>
        <v>99.049304655632767</v>
      </c>
    </row>
    <row r="791" spans="1:9" ht="15" customHeight="1" x14ac:dyDescent="0.2">
      <c r="A791" s="68" t="s">
        <v>176</v>
      </c>
      <c r="B791" s="22" t="s">
        <v>534</v>
      </c>
      <c r="C791" s="22" t="s">
        <v>542</v>
      </c>
      <c r="D791" s="22" t="s">
        <v>542</v>
      </c>
      <c r="E791" s="22" t="s">
        <v>66</v>
      </c>
      <c r="F791" s="22" t="s">
        <v>177</v>
      </c>
      <c r="G791" s="31">
        <f>1299+5.79-155</f>
        <v>1149.79</v>
      </c>
      <c r="H791" s="31">
        <v>1138.8589999999999</v>
      </c>
      <c r="I791" s="31">
        <f t="shared" si="74"/>
        <v>99.049304655632767</v>
      </c>
    </row>
    <row r="792" spans="1:9" x14ac:dyDescent="0.2">
      <c r="A792" s="68" t="s">
        <v>178</v>
      </c>
      <c r="B792" s="22" t="s">
        <v>534</v>
      </c>
      <c r="C792" s="22" t="s">
        <v>542</v>
      </c>
      <c r="D792" s="22" t="s">
        <v>542</v>
      </c>
      <c r="E792" s="22" t="s">
        <v>66</v>
      </c>
      <c r="F792" s="22" t="s">
        <v>179</v>
      </c>
      <c r="G792" s="31">
        <f>G793</f>
        <v>523.21</v>
      </c>
      <c r="H792" s="31">
        <f>H793</f>
        <v>522.76599999999996</v>
      </c>
      <c r="I792" s="31">
        <f t="shared" si="74"/>
        <v>99.915139236635369</v>
      </c>
    </row>
    <row r="793" spans="1:9" x14ac:dyDescent="0.2">
      <c r="A793" s="68" t="s">
        <v>87</v>
      </c>
      <c r="B793" s="22" t="s">
        <v>534</v>
      </c>
      <c r="C793" s="22" t="s">
        <v>542</v>
      </c>
      <c r="D793" s="22" t="s">
        <v>542</v>
      </c>
      <c r="E793" s="22" t="s">
        <v>66</v>
      </c>
      <c r="F793" s="22" t="s">
        <v>180</v>
      </c>
      <c r="G793" s="31">
        <f>412+9+110-5.79-2</f>
        <v>523.21</v>
      </c>
      <c r="H793" s="31">
        <v>522.76599999999996</v>
      </c>
      <c r="I793" s="31">
        <f t="shared" si="74"/>
        <v>99.915139236635369</v>
      </c>
    </row>
    <row r="794" spans="1:9" x14ac:dyDescent="0.2">
      <c r="A794" s="66" t="s">
        <v>163</v>
      </c>
      <c r="B794" s="16" t="s">
        <v>534</v>
      </c>
      <c r="C794" s="16" t="s">
        <v>542</v>
      </c>
      <c r="D794" s="16" t="s">
        <v>542</v>
      </c>
      <c r="E794" s="16" t="s">
        <v>293</v>
      </c>
      <c r="F794" s="16"/>
      <c r="G794" s="32">
        <f t="shared" ref="G794:H797" si="75">G795</f>
        <v>273.80799999999999</v>
      </c>
      <c r="H794" s="32">
        <f t="shared" si="75"/>
        <v>273.80799999999999</v>
      </c>
      <c r="I794" s="32">
        <f t="shared" si="74"/>
        <v>100</v>
      </c>
    </row>
    <row r="795" spans="1:9" x14ac:dyDescent="0.2">
      <c r="A795" s="66" t="s">
        <v>381</v>
      </c>
      <c r="B795" s="16" t="s">
        <v>534</v>
      </c>
      <c r="C795" s="16" t="s">
        <v>542</v>
      </c>
      <c r="D795" s="16" t="s">
        <v>542</v>
      </c>
      <c r="E795" s="16" t="s">
        <v>294</v>
      </c>
      <c r="F795" s="16"/>
      <c r="G795" s="32">
        <f t="shared" si="75"/>
        <v>273.80799999999999</v>
      </c>
      <c r="H795" s="32">
        <f t="shared" si="75"/>
        <v>273.80799999999999</v>
      </c>
      <c r="I795" s="32">
        <f t="shared" si="74"/>
        <v>100</v>
      </c>
    </row>
    <row r="796" spans="1:9" ht="24" x14ac:dyDescent="0.2">
      <c r="A796" s="64" t="s">
        <v>632</v>
      </c>
      <c r="B796" s="16" t="s">
        <v>534</v>
      </c>
      <c r="C796" s="16" t="s">
        <v>542</v>
      </c>
      <c r="D796" s="16" t="s">
        <v>542</v>
      </c>
      <c r="E796" s="16" t="s">
        <v>633</v>
      </c>
      <c r="F796" s="16"/>
      <c r="G796" s="32">
        <f t="shared" si="75"/>
        <v>273.80799999999999</v>
      </c>
      <c r="H796" s="32">
        <f t="shared" si="75"/>
        <v>273.80799999999999</v>
      </c>
      <c r="I796" s="32">
        <f t="shared" si="74"/>
        <v>100</v>
      </c>
    </row>
    <row r="797" spans="1:9" ht="36" x14ac:dyDescent="0.2">
      <c r="A797" s="68" t="s">
        <v>168</v>
      </c>
      <c r="B797" s="22" t="s">
        <v>534</v>
      </c>
      <c r="C797" s="22" t="s">
        <v>542</v>
      </c>
      <c r="D797" s="22" t="s">
        <v>542</v>
      </c>
      <c r="E797" s="22" t="s">
        <v>633</v>
      </c>
      <c r="F797" s="22" t="s">
        <v>169</v>
      </c>
      <c r="G797" s="31">
        <f t="shared" si="75"/>
        <v>273.80799999999999</v>
      </c>
      <c r="H797" s="31">
        <f t="shared" si="75"/>
        <v>273.80799999999999</v>
      </c>
      <c r="I797" s="31">
        <f t="shared" si="74"/>
        <v>100</v>
      </c>
    </row>
    <row r="798" spans="1:9" x14ac:dyDescent="0.2">
      <c r="A798" s="68" t="s">
        <v>170</v>
      </c>
      <c r="B798" s="22" t="s">
        <v>534</v>
      </c>
      <c r="C798" s="22" t="s">
        <v>542</v>
      </c>
      <c r="D798" s="22" t="s">
        <v>542</v>
      </c>
      <c r="E798" s="22" t="s">
        <v>633</v>
      </c>
      <c r="F798" s="22" t="s">
        <v>173</v>
      </c>
      <c r="G798" s="31">
        <v>273.80799999999999</v>
      </c>
      <c r="H798" s="31">
        <v>273.80799999999999</v>
      </c>
      <c r="I798" s="31">
        <f t="shared" si="74"/>
        <v>100</v>
      </c>
    </row>
    <row r="799" spans="1:9" ht="31.5" x14ac:dyDescent="0.2">
      <c r="A799" s="63" t="s">
        <v>535</v>
      </c>
      <c r="B799" s="36" t="s">
        <v>536</v>
      </c>
      <c r="C799" s="37"/>
      <c r="D799" s="37"/>
      <c r="E799" s="36"/>
      <c r="F799" s="36"/>
      <c r="G799" s="86">
        <f>G800+G820</f>
        <v>110905.02899999999</v>
      </c>
      <c r="H799" s="86">
        <f>H800+H820</f>
        <v>109776.842</v>
      </c>
      <c r="I799" s="86">
        <f t="shared" si="74"/>
        <v>98.982744957399547</v>
      </c>
    </row>
    <row r="800" spans="1:9" s="38" customFormat="1" x14ac:dyDescent="0.2">
      <c r="A800" s="64" t="s">
        <v>198</v>
      </c>
      <c r="B800" s="16" t="s">
        <v>536</v>
      </c>
      <c r="C800" s="16" t="s">
        <v>165</v>
      </c>
      <c r="D800" s="16" t="s">
        <v>166</v>
      </c>
      <c r="E800" s="16"/>
      <c r="F800" s="16"/>
      <c r="G800" s="32">
        <f>G801+G815</f>
        <v>15905.029</v>
      </c>
      <c r="H800" s="32">
        <f>H801+H815</f>
        <v>15645.958000000001</v>
      </c>
      <c r="I800" s="32">
        <f t="shared" si="74"/>
        <v>98.371137833197281</v>
      </c>
    </row>
    <row r="801" spans="1:9" ht="24" x14ac:dyDescent="0.2">
      <c r="A801" s="64" t="s">
        <v>402</v>
      </c>
      <c r="B801" s="16" t="s">
        <v>536</v>
      </c>
      <c r="C801" s="16" t="s">
        <v>165</v>
      </c>
      <c r="D801" s="16" t="s">
        <v>379</v>
      </c>
      <c r="E801" s="16"/>
      <c r="F801" s="16"/>
      <c r="G801" s="32">
        <f>G802</f>
        <v>15840.029</v>
      </c>
      <c r="H801" s="32">
        <f>H802</f>
        <v>15580.958000000001</v>
      </c>
      <c r="I801" s="32">
        <f t="shared" si="74"/>
        <v>98.364453751947039</v>
      </c>
    </row>
    <row r="802" spans="1:9" s="38" customFormat="1" ht="24" x14ac:dyDescent="0.2">
      <c r="A802" s="65" t="s">
        <v>413</v>
      </c>
      <c r="B802" s="17" t="s">
        <v>536</v>
      </c>
      <c r="C802" s="17" t="s">
        <v>165</v>
      </c>
      <c r="D802" s="17" t="s">
        <v>379</v>
      </c>
      <c r="E802" s="17" t="s">
        <v>293</v>
      </c>
      <c r="F802" s="9"/>
      <c r="G802" s="83">
        <f>G803</f>
        <v>15840.029</v>
      </c>
      <c r="H802" s="83">
        <f>H803</f>
        <v>15580.958000000001</v>
      </c>
      <c r="I802" s="83">
        <f t="shared" si="74"/>
        <v>98.364453751947039</v>
      </c>
    </row>
    <row r="803" spans="1:9" s="38" customFormat="1" ht="13.5" x14ac:dyDescent="0.2">
      <c r="A803" s="66" t="s">
        <v>381</v>
      </c>
      <c r="B803" s="16" t="s">
        <v>536</v>
      </c>
      <c r="C803" s="16" t="s">
        <v>165</v>
      </c>
      <c r="D803" s="16" t="s">
        <v>379</v>
      </c>
      <c r="E803" s="16" t="s">
        <v>294</v>
      </c>
      <c r="F803" s="59"/>
      <c r="G803" s="47">
        <f>G804+G807+G812</f>
        <v>15840.029</v>
      </c>
      <c r="H803" s="47">
        <f>H804+H807+H812</f>
        <v>15580.958000000001</v>
      </c>
      <c r="I803" s="47">
        <f t="shared" si="74"/>
        <v>98.364453751947039</v>
      </c>
    </row>
    <row r="804" spans="1:9" s="38" customFormat="1" x14ac:dyDescent="0.2">
      <c r="A804" s="66" t="s">
        <v>411</v>
      </c>
      <c r="B804" s="16" t="s">
        <v>536</v>
      </c>
      <c r="C804" s="16" t="s">
        <v>165</v>
      </c>
      <c r="D804" s="16" t="s">
        <v>379</v>
      </c>
      <c r="E804" s="16" t="s">
        <v>295</v>
      </c>
      <c r="F804" s="9"/>
      <c r="G804" s="83">
        <f>G805</f>
        <v>12985</v>
      </c>
      <c r="H804" s="83">
        <f>H805</f>
        <v>12977.255999999999</v>
      </c>
      <c r="I804" s="83">
        <f t="shared" si="74"/>
        <v>99.940361956103203</v>
      </c>
    </row>
    <row r="805" spans="1:9" s="38" customFormat="1" ht="36" x14ac:dyDescent="0.2">
      <c r="A805" s="68" t="s">
        <v>168</v>
      </c>
      <c r="B805" s="22" t="s">
        <v>536</v>
      </c>
      <c r="C805" s="22" t="s">
        <v>165</v>
      </c>
      <c r="D805" s="22" t="s">
        <v>379</v>
      </c>
      <c r="E805" s="22" t="s">
        <v>295</v>
      </c>
      <c r="F805" s="22" t="s">
        <v>169</v>
      </c>
      <c r="G805" s="31">
        <f>G806</f>
        <v>12985</v>
      </c>
      <c r="H805" s="31">
        <f>H806</f>
        <v>12977.255999999999</v>
      </c>
      <c r="I805" s="31">
        <f t="shared" si="74"/>
        <v>99.940361956103203</v>
      </c>
    </row>
    <row r="806" spans="1:9" s="38" customFormat="1" x14ac:dyDescent="0.2">
      <c r="A806" s="68" t="s">
        <v>170</v>
      </c>
      <c r="B806" s="22" t="s">
        <v>536</v>
      </c>
      <c r="C806" s="22" t="s">
        <v>165</v>
      </c>
      <c r="D806" s="22" t="s">
        <v>379</v>
      </c>
      <c r="E806" s="22" t="s">
        <v>295</v>
      </c>
      <c r="F806" s="22" t="s">
        <v>173</v>
      </c>
      <c r="G806" s="31">
        <f>9695+2920+370</f>
        <v>12985</v>
      </c>
      <c r="H806" s="31">
        <v>12977.255999999999</v>
      </c>
      <c r="I806" s="31">
        <f t="shared" si="74"/>
        <v>99.940361956103203</v>
      </c>
    </row>
    <row r="807" spans="1:9" s="38" customFormat="1" x14ac:dyDescent="0.2">
      <c r="A807" s="64" t="s">
        <v>412</v>
      </c>
      <c r="B807" s="16" t="s">
        <v>536</v>
      </c>
      <c r="C807" s="16" t="s">
        <v>165</v>
      </c>
      <c r="D807" s="16" t="s">
        <v>379</v>
      </c>
      <c r="E807" s="16" t="s">
        <v>296</v>
      </c>
      <c r="F807" s="16"/>
      <c r="G807" s="32">
        <f>G808+G810</f>
        <v>2624</v>
      </c>
      <c r="H807" s="32">
        <f>H808+H810</f>
        <v>2372.6729999999998</v>
      </c>
      <c r="I807" s="32">
        <f t="shared" si="74"/>
        <v>90.421989329268285</v>
      </c>
    </row>
    <row r="808" spans="1:9" s="38" customFormat="1" x14ac:dyDescent="0.2">
      <c r="A808" s="68" t="s">
        <v>378</v>
      </c>
      <c r="B808" s="22" t="s">
        <v>536</v>
      </c>
      <c r="C808" s="22" t="s">
        <v>165</v>
      </c>
      <c r="D808" s="22" t="s">
        <v>379</v>
      </c>
      <c r="E808" s="22" t="s">
        <v>296</v>
      </c>
      <c r="F808" s="22" t="s">
        <v>175</v>
      </c>
      <c r="G808" s="31">
        <f>G809</f>
        <v>2619</v>
      </c>
      <c r="H808" s="31">
        <f>H809</f>
        <v>2371.3359999999998</v>
      </c>
      <c r="I808" s="31">
        <f t="shared" ref="I808:I839" si="76">H808/G808*100</f>
        <v>90.543566246659026</v>
      </c>
    </row>
    <row r="809" spans="1:9" s="38" customFormat="1" ht="15" customHeight="1" x14ac:dyDescent="0.2">
      <c r="A809" s="68" t="s">
        <v>176</v>
      </c>
      <c r="B809" s="22" t="s">
        <v>536</v>
      </c>
      <c r="C809" s="22" t="s">
        <v>165</v>
      </c>
      <c r="D809" s="22" t="s">
        <v>379</v>
      </c>
      <c r="E809" s="22" t="s">
        <v>296</v>
      </c>
      <c r="F809" s="22" t="s">
        <v>177</v>
      </c>
      <c r="G809" s="31">
        <f>2769-150</f>
        <v>2619</v>
      </c>
      <c r="H809" s="31">
        <v>2371.3359999999998</v>
      </c>
      <c r="I809" s="31">
        <f t="shared" si="76"/>
        <v>90.543566246659026</v>
      </c>
    </row>
    <row r="810" spans="1:9" x14ac:dyDescent="0.2">
      <c r="A810" s="68" t="s">
        <v>178</v>
      </c>
      <c r="B810" s="22" t="s">
        <v>536</v>
      </c>
      <c r="C810" s="22" t="s">
        <v>165</v>
      </c>
      <c r="D810" s="22" t="s">
        <v>379</v>
      </c>
      <c r="E810" s="22" t="s">
        <v>296</v>
      </c>
      <c r="F810" s="22" t="s">
        <v>179</v>
      </c>
      <c r="G810" s="31">
        <f>G811</f>
        <v>5</v>
      </c>
      <c r="H810" s="31">
        <f>H811</f>
        <v>1.337</v>
      </c>
      <c r="I810" s="31">
        <f t="shared" si="76"/>
        <v>26.74</v>
      </c>
    </row>
    <row r="811" spans="1:9" x14ac:dyDescent="0.2">
      <c r="A811" s="68" t="s">
        <v>87</v>
      </c>
      <c r="B811" s="22" t="s">
        <v>536</v>
      </c>
      <c r="C811" s="22" t="s">
        <v>165</v>
      </c>
      <c r="D811" s="22" t="s">
        <v>379</v>
      </c>
      <c r="E811" s="22" t="s">
        <v>296</v>
      </c>
      <c r="F811" s="22" t="s">
        <v>180</v>
      </c>
      <c r="G811" s="31">
        <v>5</v>
      </c>
      <c r="H811" s="31">
        <v>1.337</v>
      </c>
      <c r="I811" s="31">
        <f t="shared" si="76"/>
        <v>26.74</v>
      </c>
    </row>
    <row r="812" spans="1:9" ht="24" x14ac:dyDescent="0.2">
      <c r="A812" s="64" t="s">
        <v>632</v>
      </c>
      <c r="B812" s="16" t="s">
        <v>536</v>
      </c>
      <c r="C812" s="16" t="s">
        <v>165</v>
      </c>
      <c r="D812" s="16" t="s">
        <v>379</v>
      </c>
      <c r="E812" s="16" t="s">
        <v>633</v>
      </c>
      <c r="F812" s="16"/>
      <c r="G812" s="32">
        <f>G813</f>
        <v>231.029</v>
      </c>
      <c r="H812" s="32">
        <f>H813</f>
        <v>231.029</v>
      </c>
      <c r="I812" s="32">
        <f t="shared" si="76"/>
        <v>100</v>
      </c>
    </row>
    <row r="813" spans="1:9" ht="36" x14ac:dyDescent="0.2">
      <c r="A813" s="68" t="s">
        <v>168</v>
      </c>
      <c r="B813" s="22" t="s">
        <v>536</v>
      </c>
      <c r="C813" s="22" t="s">
        <v>165</v>
      </c>
      <c r="D813" s="22" t="s">
        <v>379</v>
      </c>
      <c r="E813" s="22" t="s">
        <v>633</v>
      </c>
      <c r="F813" s="22" t="s">
        <v>169</v>
      </c>
      <c r="G813" s="31">
        <f>G814</f>
        <v>231.029</v>
      </c>
      <c r="H813" s="31">
        <f>H814</f>
        <v>231.029</v>
      </c>
      <c r="I813" s="31">
        <f t="shared" si="76"/>
        <v>100</v>
      </c>
    </row>
    <row r="814" spans="1:9" x14ac:dyDescent="0.2">
      <c r="A814" s="68" t="s">
        <v>170</v>
      </c>
      <c r="B814" s="22" t="s">
        <v>536</v>
      </c>
      <c r="C814" s="22" t="s">
        <v>165</v>
      </c>
      <c r="D814" s="22" t="s">
        <v>379</v>
      </c>
      <c r="E814" s="22" t="s">
        <v>633</v>
      </c>
      <c r="F814" s="22" t="s">
        <v>173</v>
      </c>
      <c r="G814" s="31">
        <v>231.029</v>
      </c>
      <c r="H814" s="31">
        <v>231.029</v>
      </c>
      <c r="I814" s="31">
        <f t="shared" si="76"/>
        <v>100</v>
      </c>
    </row>
    <row r="815" spans="1:9" x14ac:dyDescent="0.2">
      <c r="A815" s="64" t="s">
        <v>405</v>
      </c>
      <c r="B815" s="16" t="s">
        <v>536</v>
      </c>
      <c r="C815" s="16" t="s">
        <v>165</v>
      </c>
      <c r="D815" s="16" t="s">
        <v>184</v>
      </c>
      <c r="E815" s="16"/>
      <c r="F815" s="16"/>
      <c r="G815" s="32">
        <f t="shared" ref="G815:H818" si="77">G816</f>
        <v>65</v>
      </c>
      <c r="H815" s="32">
        <f t="shared" si="77"/>
        <v>65</v>
      </c>
      <c r="I815" s="32">
        <f t="shared" si="76"/>
        <v>100</v>
      </c>
    </row>
    <row r="816" spans="1:9" x14ac:dyDescent="0.2">
      <c r="A816" s="64" t="s">
        <v>381</v>
      </c>
      <c r="B816" s="16" t="s">
        <v>536</v>
      </c>
      <c r="C816" s="16" t="s">
        <v>165</v>
      </c>
      <c r="D816" s="16" t="s">
        <v>184</v>
      </c>
      <c r="E816" s="33" t="s">
        <v>294</v>
      </c>
      <c r="F816" s="16"/>
      <c r="G816" s="32">
        <f t="shared" si="77"/>
        <v>65</v>
      </c>
      <c r="H816" s="32">
        <f t="shared" si="77"/>
        <v>65</v>
      </c>
      <c r="I816" s="32">
        <f t="shared" si="76"/>
        <v>100</v>
      </c>
    </row>
    <row r="817" spans="1:9" x14ac:dyDescent="0.2">
      <c r="A817" s="67" t="s">
        <v>406</v>
      </c>
      <c r="B817" s="17" t="s">
        <v>536</v>
      </c>
      <c r="C817" s="17" t="s">
        <v>165</v>
      </c>
      <c r="D817" s="17" t="s">
        <v>184</v>
      </c>
      <c r="E817" s="44" t="s">
        <v>104</v>
      </c>
      <c r="F817" s="17"/>
      <c r="G817" s="35">
        <f t="shared" si="77"/>
        <v>65</v>
      </c>
      <c r="H817" s="35">
        <f t="shared" si="77"/>
        <v>65</v>
      </c>
      <c r="I817" s="35">
        <f t="shared" si="76"/>
        <v>100</v>
      </c>
    </row>
    <row r="818" spans="1:9" x14ac:dyDescent="0.2">
      <c r="A818" s="68" t="s">
        <v>178</v>
      </c>
      <c r="B818" s="22" t="s">
        <v>536</v>
      </c>
      <c r="C818" s="22" t="s">
        <v>165</v>
      </c>
      <c r="D818" s="22" t="s">
        <v>184</v>
      </c>
      <c r="E818" s="30" t="s">
        <v>104</v>
      </c>
      <c r="F818" s="22" t="s">
        <v>179</v>
      </c>
      <c r="G818" s="31">
        <f t="shared" si="77"/>
        <v>65</v>
      </c>
      <c r="H818" s="31">
        <f t="shared" si="77"/>
        <v>65</v>
      </c>
      <c r="I818" s="31">
        <f t="shared" si="76"/>
        <v>100</v>
      </c>
    </row>
    <row r="819" spans="1:9" x14ac:dyDescent="0.2">
      <c r="A819" s="68" t="s">
        <v>228</v>
      </c>
      <c r="B819" s="22" t="s">
        <v>536</v>
      </c>
      <c r="C819" s="22" t="s">
        <v>165</v>
      </c>
      <c r="D819" s="22" t="s">
        <v>184</v>
      </c>
      <c r="E819" s="30" t="s">
        <v>104</v>
      </c>
      <c r="F819" s="22" t="s">
        <v>232</v>
      </c>
      <c r="G819" s="31">
        <f>1000-150-200-370-215</f>
        <v>65</v>
      </c>
      <c r="H819" s="31">
        <v>65</v>
      </c>
      <c r="I819" s="31">
        <f t="shared" si="76"/>
        <v>100</v>
      </c>
    </row>
    <row r="820" spans="1:9" x14ac:dyDescent="0.2">
      <c r="A820" s="64" t="s">
        <v>513</v>
      </c>
      <c r="B820" s="16" t="s">
        <v>536</v>
      </c>
      <c r="C820" s="16" t="s">
        <v>184</v>
      </c>
      <c r="D820" s="16" t="s">
        <v>166</v>
      </c>
      <c r="E820" s="16"/>
      <c r="F820" s="16"/>
      <c r="G820" s="32">
        <f t="shared" ref="G820:H824" si="78">G821</f>
        <v>95000</v>
      </c>
      <c r="H820" s="32">
        <f t="shared" si="78"/>
        <v>94130.884000000005</v>
      </c>
      <c r="I820" s="32">
        <f t="shared" si="76"/>
        <v>99.085141052631585</v>
      </c>
    </row>
    <row r="821" spans="1:9" x14ac:dyDescent="0.2">
      <c r="A821" s="64" t="s">
        <v>381</v>
      </c>
      <c r="B821" s="16" t="s">
        <v>536</v>
      </c>
      <c r="C821" s="16" t="s">
        <v>184</v>
      </c>
      <c r="D821" s="16" t="s">
        <v>165</v>
      </c>
      <c r="E821" s="33" t="s">
        <v>294</v>
      </c>
      <c r="F821" s="16"/>
      <c r="G821" s="32">
        <f t="shared" si="78"/>
        <v>95000</v>
      </c>
      <c r="H821" s="32">
        <f t="shared" si="78"/>
        <v>94130.884000000005</v>
      </c>
      <c r="I821" s="32">
        <f t="shared" si="76"/>
        <v>99.085141052631585</v>
      </c>
    </row>
    <row r="822" spans="1:9" ht="15.75" x14ac:dyDescent="0.2">
      <c r="A822" s="64" t="s">
        <v>538</v>
      </c>
      <c r="B822" s="16" t="s">
        <v>536</v>
      </c>
      <c r="C822" s="16" t="s">
        <v>184</v>
      </c>
      <c r="D822" s="16" t="s">
        <v>165</v>
      </c>
      <c r="E822" s="16" t="s">
        <v>33</v>
      </c>
      <c r="F822" s="37"/>
      <c r="G822" s="32">
        <f t="shared" si="78"/>
        <v>95000</v>
      </c>
      <c r="H822" s="32">
        <f t="shared" si="78"/>
        <v>94130.884000000005</v>
      </c>
      <c r="I822" s="32">
        <f t="shared" si="76"/>
        <v>99.085141052631585</v>
      </c>
    </row>
    <row r="823" spans="1:9" x14ac:dyDescent="0.2">
      <c r="A823" s="69" t="s">
        <v>403</v>
      </c>
      <c r="B823" s="25" t="s">
        <v>536</v>
      </c>
      <c r="C823" s="25" t="s">
        <v>184</v>
      </c>
      <c r="D823" s="25" t="s">
        <v>165</v>
      </c>
      <c r="E823" s="45" t="s">
        <v>33</v>
      </c>
      <c r="F823" s="25"/>
      <c r="G823" s="85">
        <f t="shared" si="78"/>
        <v>95000</v>
      </c>
      <c r="H823" s="85">
        <f t="shared" si="78"/>
        <v>94130.884000000005</v>
      </c>
      <c r="I823" s="85">
        <f t="shared" si="76"/>
        <v>99.085141052631585</v>
      </c>
    </row>
    <row r="824" spans="1:9" x14ac:dyDescent="0.2">
      <c r="A824" s="68" t="s">
        <v>382</v>
      </c>
      <c r="B824" s="22" t="s">
        <v>536</v>
      </c>
      <c r="C824" s="22" t="s">
        <v>184</v>
      </c>
      <c r="D824" s="22" t="s">
        <v>165</v>
      </c>
      <c r="E824" s="22" t="s">
        <v>33</v>
      </c>
      <c r="F824" s="22" t="s">
        <v>383</v>
      </c>
      <c r="G824" s="31">
        <f t="shared" si="78"/>
        <v>95000</v>
      </c>
      <c r="H824" s="31">
        <f t="shared" si="78"/>
        <v>94130.884000000005</v>
      </c>
      <c r="I824" s="31">
        <f t="shared" si="76"/>
        <v>99.085141052631585</v>
      </c>
    </row>
    <row r="825" spans="1:9" x14ac:dyDescent="0.2">
      <c r="A825" s="68" t="s">
        <v>384</v>
      </c>
      <c r="B825" s="22" t="s">
        <v>536</v>
      </c>
      <c r="C825" s="22" t="s">
        <v>184</v>
      </c>
      <c r="D825" s="22" t="s">
        <v>165</v>
      </c>
      <c r="E825" s="22" t="s">
        <v>33</v>
      </c>
      <c r="F825" s="22" t="s">
        <v>528</v>
      </c>
      <c r="G825" s="31">
        <f>122000-15000-500-1626.9-9873.1</f>
        <v>95000</v>
      </c>
      <c r="H825" s="31">
        <v>94130.884000000005</v>
      </c>
      <c r="I825" s="31">
        <f t="shared" si="76"/>
        <v>99.085141052631585</v>
      </c>
    </row>
    <row r="826" spans="1:9" ht="31.5" x14ac:dyDescent="0.2">
      <c r="A826" s="63" t="s">
        <v>160</v>
      </c>
      <c r="B826" s="36" t="s">
        <v>537</v>
      </c>
      <c r="C826" s="36"/>
      <c r="D826" s="36"/>
      <c r="E826" s="36"/>
      <c r="F826" s="36"/>
      <c r="G826" s="86">
        <f>G827+G851</f>
        <v>13279.308000000001</v>
      </c>
      <c r="H826" s="86">
        <f>H827+H851</f>
        <v>13163.680999999999</v>
      </c>
      <c r="I826" s="86">
        <f t="shared" si="76"/>
        <v>99.129269386627655</v>
      </c>
    </row>
    <row r="827" spans="1:9" x14ac:dyDescent="0.2">
      <c r="A827" s="64" t="s">
        <v>198</v>
      </c>
      <c r="B827" s="16" t="s">
        <v>537</v>
      </c>
      <c r="C827" s="16" t="s">
        <v>165</v>
      </c>
      <c r="D827" s="16" t="s">
        <v>166</v>
      </c>
      <c r="E827" s="16"/>
      <c r="F827" s="16"/>
      <c r="G827" s="32">
        <f>G828+G842</f>
        <v>12979.308000000001</v>
      </c>
      <c r="H827" s="32">
        <f>H828+H842</f>
        <v>12880.180999999999</v>
      </c>
      <c r="I827" s="32">
        <f t="shared" si="76"/>
        <v>99.236268990611805</v>
      </c>
    </row>
    <row r="828" spans="1:9" ht="36" customHeight="1" x14ac:dyDescent="0.2">
      <c r="A828" s="64" t="s">
        <v>397</v>
      </c>
      <c r="B828" s="16" t="s">
        <v>537</v>
      </c>
      <c r="C828" s="16" t="s">
        <v>165</v>
      </c>
      <c r="D828" s="16" t="s">
        <v>167</v>
      </c>
      <c r="E828" s="16"/>
      <c r="F828" s="16"/>
      <c r="G828" s="32">
        <f>G829</f>
        <v>12624.308000000001</v>
      </c>
      <c r="H828" s="32">
        <f>H829</f>
        <v>12528.904999999999</v>
      </c>
      <c r="I828" s="32">
        <f t="shared" si="76"/>
        <v>99.24429125144917</v>
      </c>
    </row>
    <row r="829" spans="1:9" x14ac:dyDescent="0.2">
      <c r="A829" s="65" t="s">
        <v>163</v>
      </c>
      <c r="B829" s="17" t="s">
        <v>537</v>
      </c>
      <c r="C829" s="17" t="s">
        <v>165</v>
      </c>
      <c r="D829" s="17" t="s">
        <v>167</v>
      </c>
      <c r="E829" s="17" t="s">
        <v>293</v>
      </c>
      <c r="F829" s="17"/>
      <c r="G829" s="35">
        <f>G830</f>
        <v>12624.308000000001</v>
      </c>
      <c r="H829" s="35">
        <f>H830</f>
        <v>12528.904999999999</v>
      </c>
      <c r="I829" s="35">
        <f t="shared" si="76"/>
        <v>99.24429125144917</v>
      </c>
    </row>
    <row r="830" spans="1:9" x14ac:dyDescent="0.2">
      <c r="A830" s="66" t="s">
        <v>381</v>
      </c>
      <c r="B830" s="16" t="s">
        <v>537</v>
      </c>
      <c r="C830" s="16" t="s">
        <v>165</v>
      </c>
      <c r="D830" s="16" t="s">
        <v>167</v>
      </c>
      <c r="E830" s="16" t="s">
        <v>294</v>
      </c>
      <c r="F830" s="16"/>
      <c r="G830" s="32">
        <f>G831+G834+G839</f>
        <v>12624.308000000001</v>
      </c>
      <c r="H830" s="32">
        <f>H831+H834+H839</f>
        <v>12528.904999999999</v>
      </c>
      <c r="I830" s="32">
        <f t="shared" si="76"/>
        <v>99.24429125144917</v>
      </c>
    </row>
    <row r="831" spans="1:9" x14ac:dyDescent="0.2">
      <c r="A831" s="66" t="s">
        <v>380</v>
      </c>
      <c r="B831" s="16" t="s">
        <v>537</v>
      </c>
      <c r="C831" s="16" t="s">
        <v>165</v>
      </c>
      <c r="D831" s="16" t="s">
        <v>167</v>
      </c>
      <c r="E831" s="16" t="s">
        <v>295</v>
      </c>
      <c r="F831" s="16"/>
      <c r="G831" s="32">
        <f>G832</f>
        <v>11812</v>
      </c>
      <c r="H831" s="32">
        <f>H832</f>
        <v>11718.493</v>
      </c>
      <c r="I831" s="32">
        <f t="shared" si="76"/>
        <v>99.208372841178459</v>
      </c>
    </row>
    <row r="832" spans="1:9" ht="36" x14ac:dyDescent="0.2">
      <c r="A832" s="68" t="s">
        <v>168</v>
      </c>
      <c r="B832" s="22" t="s">
        <v>537</v>
      </c>
      <c r="C832" s="22" t="s">
        <v>165</v>
      </c>
      <c r="D832" s="22" t="s">
        <v>167</v>
      </c>
      <c r="E832" s="22" t="s">
        <v>295</v>
      </c>
      <c r="F832" s="22" t="s">
        <v>169</v>
      </c>
      <c r="G832" s="31">
        <f>G833</f>
        <v>11812</v>
      </c>
      <c r="H832" s="31">
        <f>H833</f>
        <v>11718.493</v>
      </c>
      <c r="I832" s="31">
        <f t="shared" si="76"/>
        <v>99.208372841178459</v>
      </c>
    </row>
    <row r="833" spans="1:9" x14ac:dyDescent="0.2">
      <c r="A833" s="68" t="s">
        <v>170</v>
      </c>
      <c r="B833" s="22" t="s">
        <v>537</v>
      </c>
      <c r="C833" s="22" t="s">
        <v>165</v>
      </c>
      <c r="D833" s="22" t="s">
        <v>167</v>
      </c>
      <c r="E833" s="22" t="s">
        <v>295</v>
      </c>
      <c r="F833" s="22" t="s">
        <v>173</v>
      </c>
      <c r="G833" s="31">
        <f>9500+2832-20-500</f>
        <v>11812</v>
      </c>
      <c r="H833" s="31">
        <v>11718.493</v>
      </c>
      <c r="I833" s="31">
        <f t="shared" si="76"/>
        <v>99.208372841178459</v>
      </c>
    </row>
    <row r="834" spans="1:9" x14ac:dyDescent="0.2">
      <c r="A834" s="64" t="s">
        <v>174</v>
      </c>
      <c r="B834" s="16" t="s">
        <v>537</v>
      </c>
      <c r="C834" s="16" t="s">
        <v>165</v>
      </c>
      <c r="D834" s="16" t="s">
        <v>167</v>
      </c>
      <c r="E834" s="16" t="s">
        <v>296</v>
      </c>
      <c r="F834" s="16"/>
      <c r="G834" s="32">
        <f>G835+G837</f>
        <v>560</v>
      </c>
      <c r="H834" s="32">
        <f>H835+H837</f>
        <v>558.10400000000004</v>
      </c>
      <c r="I834" s="32">
        <f t="shared" si="76"/>
        <v>99.661428571428573</v>
      </c>
    </row>
    <row r="835" spans="1:9" x14ac:dyDescent="0.2">
      <c r="A835" s="68" t="s">
        <v>378</v>
      </c>
      <c r="B835" s="22" t="s">
        <v>537</v>
      </c>
      <c r="C835" s="22" t="s">
        <v>165</v>
      </c>
      <c r="D835" s="22" t="s">
        <v>167</v>
      </c>
      <c r="E835" s="22" t="s">
        <v>296</v>
      </c>
      <c r="F835" s="22" t="s">
        <v>175</v>
      </c>
      <c r="G835" s="31">
        <f>G836</f>
        <v>448</v>
      </c>
      <c r="H835" s="31">
        <f>H836</f>
        <v>448</v>
      </c>
      <c r="I835" s="31">
        <f t="shared" si="76"/>
        <v>100</v>
      </c>
    </row>
    <row r="836" spans="1:9" ht="15" customHeight="1" x14ac:dyDescent="0.2">
      <c r="A836" s="68" t="s">
        <v>176</v>
      </c>
      <c r="B836" s="22" t="s">
        <v>537</v>
      </c>
      <c r="C836" s="22" t="s">
        <v>165</v>
      </c>
      <c r="D836" s="22" t="s">
        <v>167</v>
      </c>
      <c r="E836" s="22" t="s">
        <v>296</v>
      </c>
      <c r="F836" s="22" t="s">
        <v>177</v>
      </c>
      <c r="G836" s="31">
        <f>553-90-15</f>
        <v>448</v>
      </c>
      <c r="H836" s="31">
        <v>448</v>
      </c>
      <c r="I836" s="31">
        <f t="shared" si="76"/>
        <v>100</v>
      </c>
    </row>
    <row r="837" spans="1:9" x14ac:dyDescent="0.2">
      <c r="A837" s="68" t="s">
        <v>178</v>
      </c>
      <c r="B837" s="22" t="s">
        <v>537</v>
      </c>
      <c r="C837" s="22" t="s">
        <v>165</v>
      </c>
      <c r="D837" s="22" t="s">
        <v>167</v>
      </c>
      <c r="E837" s="22" t="s">
        <v>296</v>
      </c>
      <c r="F837" s="22" t="s">
        <v>179</v>
      </c>
      <c r="G837" s="31">
        <f>G838</f>
        <v>112</v>
      </c>
      <c r="H837" s="31">
        <f>H838</f>
        <v>110.104</v>
      </c>
      <c r="I837" s="31">
        <f t="shared" si="76"/>
        <v>98.307142857142864</v>
      </c>
    </row>
    <row r="838" spans="1:9" x14ac:dyDescent="0.2">
      <c r="A838" s="68" t="s">
        <v>87</v>
      </c>
      <c r="B838" s="22" t="s">
        <v>537</v>
      </c>
      <c r="C838" s="22" t="s">
        <v>165</v>
      </c>
      <c r="D838" s="22" t="s">
        <v>167</v>
      </c>
      <c r="E838" s="22" t="s">
        <v>296</v>
      </c>
      <c r="F838" s="22" t="s">
        <v>180</v>
      </c>
      <c r="G838" s="31">
        <f>2+90+20</f>
        <v>112</v>
      </c>
      <c r="H838" s="31">
        <v>110.104</v>
      </c>
      <c r="I838" s="31">
        <f t="shared" si="76"/>
        <v>98.307142857142864</v>
      </c>
    </row>
    <row r="839" spans="1:9" ht="24" x14ac:dyDescent="0.2">
      <c r="A839" s="64" t="s">
        <v>632</v>
      </c>
      <c r="B839" s="16" t="s">
        <v>537</v>
      </c>
      <c r="C839" s="16" t="s">
        <v>165</v>
      </c>
      <c r="D839" s="16" t="s">
        <v>167</v>
      </c>
      <c r="E839" s="16" t="s">
        <v>633</v>
      </c>
      <c r="F839" s="16"/>
      <c r="G839" s="32">
        <f>G840</f>
        <v>252.30799999999999</v>
      </c>
      <c r="H839" s="32">
        <f>H840</f>
        <v>252.30799999999999</v>
      </c>
      <c r="I839" s="32">
        <f t="shared" si="76"/>
        <v>100</v>
      </c>
    </row>
    <row r="840" spans="1:9" ht="36" x14ac:dyDescent="0.2">
      <c r="A840" s="68" t="s">
        <v>168</v>
      </c>
      <c r="B840" s="22" t="s">
        <v>537</v>
      </c>
      <c r="C840" s="22" t="s">
        <v>165</v>
      </c>
      <c r="D840" s="22" t="s">
        <v>167</v>
      </c>
      <c r="E840" s="22" t="s">
        <v>633</v>
      </c>
      <c r="F840" s="22" t="s">
        <v>169</v>
      </c>
      <c r="G840" s="31">
        <f>G841</f>
        <v>252.30799999999999</v>
      </c>
      <c r="H840" s="31">
        <f>H841</f>
        <v>252.30799999999999</v>
      </c>
      <c r="I840" s="31">
        <f t="shared" ref="I840:I850" si="79">H840/G840*100</f>
        <v>100</v>
      </c>
    </row>
    <row r="841" spans="1:9" x14ac:dyDescent="0.2">
      <c r="A841" s="68" t="s">
        <v>170</v>
      </c>
      <c r="B841" s="22" t="s">
        <v>537</v>
      </c>
      <c r="C841" s="22" t="s">
        <v>165</v>
      </c>
      <c r="D841" s="22" t="s">
        <v>167</v>
      </c>
      <c r="E841" s="22" t="s">
        <v>633</v>
      </c>
      <c r="F841" s="22" t="s">
        <v>173</v>
      </c>
      <c r="G841" s="31">
        <v>252.30799999999999</v>
      </c>
      <c r="H841" s="31">
        <v>252.30799999999999</v>
      </c>
      <c r="I841" s="31">
        <f t="shared" si="79"/>
        <v>100</v>
      </c>
    </row>
    <row r="842" spans="1:9" x14ac:dyDescent="0.2">
      <c r="A842" s="64" t="s">
        <v>405</v>
      </c>
      <c r="B842" s="16" t="s">
        <v>537</v>
      </c>
      <c r="C842" s="16" t="s">
        <v>165</v>
      </c>
      <c r="D842" s="16" t="s">
        <v>184</v>
      </c>
      <c r="E842" s="22"/>
      <c r="F842" s="16"/>
      <c r="G842" s="32">
        <f>G843</f>
        <v>355</v>
      </c>
      <c r="H842" s="32">
        <f>H843</f>
        <v>351.27600000000001</v>
      </c>
      <c r="I842" s="32">
        <f t="shared" si="79"/>
        <v>98.950985915492964</v>
      </c>
    </row>
    <row r="843" spans="1:9" x14ac:dyDescent="0.2">
      <c r="A843" s="65" t="s">
        <v>163</v>
      </c>
      <c r="B843" s="17" t="s">
        <v>537</v>
      </c>
      <c r="C843" s="17" t="s">
        <v>165</v>
      </c>
      <c r="D843" s="17" t="s">
        <v>184</v>
      </c>
      <c r="E843" s="17" t="s">
        <v>293</v>
      </c>
      <c r="F843" s="17"/>
      <c r="G843" s="35">
        <f>G844</f>
        <v>355</v>
      </c>
      <c r="H843" s="35">
        <f>H844</f>
        <v>351.27600000000001</v>
      </c>
      <c r="I843" s="35">
        <f t="shared" si="79"/>
        <v>98.950985915492964</v>
      </c>
    </row>
    <row r="844" spans="1:9" x14ac:dyDescent="0.2">
      <c r="A844" s="64" t="s">
        <v>381</v>
      </c>
      <c r="B844" s="16" t="s">
        <v>537</v>
      </c>
      <c r="C844" s="16" t="s">
        <v>165</v>
      </c>
      <c r="D844" s="16" t="s">
        <v>184</v>
      </c>
      <c r="E844" s="16" t="s">
        <v>294</v>
      </c>
      <c r="F844" s="58"/>
      <c r="G844" s="32">
        <f>G845+G848</f>
        <v>355</v>
      </c>
      <c r="H844" s="32">
        <f>H845+H848</f>
        <v>351.27600000000001</v>
      </c>
      <c r="I844" s="32">
        <f t="shared" si="79"/>
        <v>98.950985915492964</v>
      </c>
    </row>
    <row r="845" spans="1:9" x14ac:dyDescent="0.2">
      <c r="A845" s="67" t="s">
        <v>406</v>
      </c>
      <c r="B845" s="17" t="s">
        <v>537</v>
      </c>
      <c r="C845" s="17" t="s">
        <v>165</v>
      </c>
      <c r="D845" s="17" t="s">
        <v>184</v>
      </c>
      <c r="E845" s="44" t="s">
        <v>104</v>
      </c>
      <c r="F845" s="17"/>
      <c r="G845" s="35">
        <f>G846</f>
        <v>15</v>
      </c>
      <c r="H845" s="35">
        <f>H846</f>
        <v>15</v>
      </c>
      <c r="I845" s="35">
        <f t="shared" si="79"/>
        <v>100</v>
      </c>
    </row>
    <row r="846" spans="1:9" x14ac:dyDescent="0.2">
      <c r="A846" s="68" t="s">
        <v>178</v>
      </c>
      <c r="B846" s="22" t="s">
        <v>537</v>
      </c>
      <c r="C846" s="22" t="s">
        <v>165</v>
      </c>
      <c r="D846" s="22" t="s">
        <v>184</v>
      </c>
      <c r="E846" s="30" t="s">
        <v>104</v>
      </c>
      <c r="F846" s="22" t="s">
        <v>179</v>
      </c>
      <c r="G846" s="31">
        <f>G847</f>
        <v>15</v>
      </c>
      <c r="H846" s="31">
        <f>H847</f>
        <v>15</v>
      </c>
      <c r="I846" s="31">
        <f t="shared" si="79"/>
        <v>100</v>
      </c>
    </row>
    <row r="847" spans="1:9" x14ac:dyDescent="0.2">
      <c r="A847" s="68" t="s">
        <v>228</v>
      </c>
      <c r="B847" s="22" t="s">
        <v>537</v>
      </c>
      <c r="C847" s="22" t="s">
        <v>165</v>
      </c>
      <c r="D847" s="22" t="s">
        <v>184</v>
      </c>
      <c r="E847" s="30" t="s">
        <v>104</v>
      </c>
      <c r="F847" s="22" t="s">
        <v>232</v>
      </c>
      <c r="G847" s="31">
        <v>15</v>
      </c>
      <c r="H847" s="31">
        <v>15</v>
      </c>
      <c r="I847" s="31">
        <f t="shared" si="79"/>
        <v>100</v>
      </c>
    </row>
    <row r="848" spans="1:9" ht="24" x14ac:dyDescent="0.2">
      <c r="A848" s="69" t="s">
        <v>391</v>
      </c>
      <c r="B848" s="25" t="s">
        <v>537</v>
      </c>
      <c r="C848" s="25" t="s">
        <v>165</v>
      </c>
      <c r="D848" s="25" t="s">
        <v>184</v>
      </c>
      <c r="E848" s="22" t="s">
        <v>205</v>
      </c>
      <c r="F848" s="26"/>
      <c r="G848" s="85">
        <f>G849</f>
        <v>340</v>
      </c>
      <c r="H848" s="85">
        <f>H849</f>
        <v>336.27600000000001</v>
      </c>
      <c r="I848" s="31">
        <f t="shared" si="79"/>
        <v>98.904705882352943</v>
      </c>
    </row>
    <row r="849" spans="1:9" x14ac:dyDescent="0.2">
      <c r="A849" s="68" t="s">
        <v>378</v>
      </c>
      <c r="B849" s="22" t="s">
        <v>537</v>
      </c>
      <c r="C849" s="22" t="s">
        <v>165</v>
      </c>
      <c r="D849" s="22" t="s">
        <v>184</v>
      </c>
      <c r="E849" s="22" t="s">
        <v>205</v>
      </c>
      <c r="F849" s="23">
        <v>200</v>
      </c>
      <c r="G849" s="31">
        <f>G850</f>
        <v>340</v>
      </c>
      <c r="H849" s="31">
        <f>H850</f>
        <v>336.27600000000001</v>
      </c>
      <c r="I849" s="31">
        <f t="shared" si="79"/>
        <v>98.904705882352943</v>
      </c>
    </row>
    <row r="850" spans="1:9" ht="15" customHeight="1" x14ac:dyDescent="0.2">
      <c r="A850" s="68" t="s">
        <v>176</v>
      </c>
      <c r="B850" s="23">
        <v>611</v>
      </c>
      <c r="C850" s="22" t="s">
        <v>165</v>
      </c>
      <c r="D850" s="22" t="s">
        <v>184</v>
      </c>
      <c r="E850" s="22" t="s">
        <v>205</v>
      </c>
      <c r="F850" s="22" t="s">
        <v>177</v>
      </c>
      <c r="G850" s="31">
        <f>1000-660</f>
        <v>340</v>
      </c>
      <c r="H850" s="31">
        <v>336.27600000000001</v>
      </c>
      <c r="I850" s="31">
        <f t="shared" si="79"/>
        <v>98.904705882352943</v>
      </c>
    </row>
    <row r="851" spans="1:9" x14ac:dyDescent="0.2">
      <c r="A851" s="64" t="s">
        <v>475</v>
      </c>
      <c r="B851" s="16" t="s">
        <v>537</v>
      </c>
      <c r="C851" s="16" t="s">
        <v>167</v>
      </c>
      <c r="D851" s="16" t="s">
        <v>166</v>
      </c>
      <c r="E851" s="16"/>
      <c r="F851" s="16"/>
      <c r="G851" s="32">
        <f t="shared" ref="G851:H856" si="80">G852</f>
        <v>300</v>
      </c>
      <c r="H851" s="32">
        <f t="shared" si="80"/>
        <v>283.5</v>
      </c>
      <c r="I851" s="32">
        <f t="shared" ref="I851:I882" si="81">H851/G851*100</f>
        <v>94.5</v>
      </c>
    </row>
    <row r="852" spans="1:9" x14ac:dyDescent="0.2">
      <c r="A852" s="64" t="s">
        <v>518</v>
      </c>
      <c r="B852" s="16" t="s">
        <v>537</v>
      </c>
      <c r="C852" s="16" t="s">
        <v>167</v>
      </c>
      <c r="D852" s="16" t="s">
        <v>597</v>
      </c>
      <c r="E852" s="17"/>
      <c r="F852" s="17"/>
      <c r="G852" s="32">
        <f t="shared" si="80"/>
        <v>300</v>
      </c>
      <c r="H852" s="32">
        <f t="shared" si="80"/>
        <v>283.5</v>
      </c>
      <c r="I852" s="32">
        <f t="shared" si="81"/>
        <v>94.5</v>
      </c>
    </row>
    <row r="853" spans="1:9" x14ac:dyDescent="0.2">
      <c r="A853" s="65" t="s">
        <v>163</v>
      </c>
      <c r="B853" s="17" t="s">
        <v>537</v>
      </c>
      <c r="C853" s="17" t="s">
        <v>167</v>
      </c>
      <c r="D853" s="17" t="s">
        <v>597</v>
      </c>
      <c r="E853" s="17" t="s">
        <v>293</v>
      </c>
      <c r="F853" s="17"/>
      <c r="G853" s="35">
        <f t="shared" si="80"/>
        <v>300</v>
      </c>
      <c r="H853" s="35">
        <f t="shared" si="80"/>
        <v>283.5</v>
      </c>
      <c r="I853" s="35">
        <f t="shared" si="81"/>
        <v>94.5</v>
      </c>
    </row>
    <row r="854" spans="1:9" x14ac:dyDescent="0.2">
      <c r="A854" s="64" t="s">
        <v>381</v>
      </c>
      <c r="B854" s="28">
        <v>611</v>
      </c>
      <c r="C854" s="16" t="s">
        <v>167</v>
      </c>
      <c r="D854" s="16" t="s">
        <v>597</v>
      </c>
      <c r="E854" s="16" t="s">
        <v>294</v>
      </c>
      <c r="F854" s="16"/>
      <c r="G854" s="32">
        <f t="shared" si="80"/>
        <v>300</v>
      </c>
      <c r="H854" s="32">
        <f t="shared" si="80"/>
        <v>283.5</v>
      </c>
      <c r="I854" s="32">
        <f t="shared" si="81"/>
        <v>94.5</v>
      </c>
    </row>
    <row r="855" spans="1:9" s="38" customFormat="1" x14ac:dyDescent="0.2">
      <c r="A855" s="69" t="s">
        <v>443</v>
      </c>
      <c r="B855" s="26">
        <v>611</v>
      </c>
      <c r="C855" s="25" t="s">
        <v>167</v>
      </c>
      <c r="D855" s="25" t="s">
        <v>597</v>
      </c>
      <c r="E855" s="25" t="s">
        <v>206</v>
      </c>
      <c r="F855" s="25"/>
      <c r="G855" s="85">
        <f t="shared" si="80"/>
        <v>300</v>
      </c>
      <c r="H855" s="85">
        <f t="shared" si="80"/>
        <v>283.5</v>
      </c>
      <c r="I855" s="31">
        <f t="shared" si="81"/>
        <v>94.5</v>
      </c>
    </row>
    <row r="856" spans="1:9" x14ac:dyDescent="0.2">
      <c r="A856" s="68" t="s">
        <v>378</v>
      </c>
      <c r="B856" s="22" t="s">
        <v>537</v>
      </c>
      <c r="C856" s="22" t="s">
        <v>167</v>
      </c>
      <c r="D856" s="22" t="s">
        <v>597</v>
      </c>
      <c r="E856" s="22" t="s">
        <v>206</v>
      </c>
      <c r="F856" s="23">
        <v>200</v>
      </c>
      <c r="G856" s="31">
        <f t="shared" si="80"/>
        <v>300</v>
      </c>
      <c r="H856" s="31">
        <f t="shared" si="80"/>
        <v>283.5</v>
      </c>
      <c r="I856" s="31">
        <f t="shared" si="81"/>
        <v>94.5</v>
      </c>
    </row>
    <row r="857" spans="1:9" ht="15" customHeight="1" x14ac:dyDescent="0.2">
      <c r="A857" s="68" t="s">
        <v>176</v>
      </c>
      <c r="B857" s="23">
        <v>611</v>
      </c>
      <c r="C857" s="22" t="s">
        <v>167</v>
      </c>
      <c r="D857" s="22" t="s">
        <v>597</v>
      </c>
      <c r="E857" s="22" t="s">
        <v>206</v>
      </c>
      <c r="F857" s="22" t="s">
        <v>177</v>
      </c>
      <c r="G857" s="31">
        <f>1000-700</f>
        <v>300</v>
      </c>
      <c r="H857" s="31">
        <v>283.5</v>
      </c>
      <c r="I857" s="31">
        <f t="shared" si="81"/>
        <v>94.5</v>
      </c>
    </row>
    <row r="858" spans="1:9" ht="15.75" x14ac:dyDescent="0.2">
      <c r="A858" s="63" t="s">
        <v>377</v>
      </c>
      <c r="B858" s="36" t="s">
        <v>216</v>
      </c>
      <c r="C858" s="36"/>
      <c r="D858" s="36"/>
      <c r="E858" s="36"/>
      <c r="F858" s="36"/>
      <c r="G858" s="86">
        <f>G859+G954</f>
        <v>2591411.7579999999</v>
      </c>
      <c r="H858" s="86">
        <f>H859+H954</f>
        <v>2516602.074</v>
      </c>
      <c r="I858" s="86">
        <f t="shared" si="81"/>
        <v>97.113168767215257</v>
      </c>
    </row>
    <row r="859" spans="1:9" x14ac:dyDescent="0.2">
      <c r="A859" s="64" t="s">
        <v>493</v>
      </c>
      <c r="B859" s="16" t="s">
        <v>216</v>
      </c>
      <c r="C859" s="16" t="s">
        <v>598</v>
      </c>
      <c r="D859" s="16" t="s">
        <v>166</v>
      </c>
      <c r="E859" s="16"/>
      <c r="F859" s="16"/>
      <c r="G859" s="32">
        <f>G860+G874+G890+G906+G900</f>
        <v>2564217.6546</v>
      </c>
      <c r="H859" s="32">
        <f>H860+H874+H890+H906+H900</f>
        <v>2489570.3330000001</v>
      </c>
      <c r="I859" s="32">
        <f t="shared" si="81"/>
        <v>97.088885123847092</v>
      </c>
    </row>
    <row r="860" spans="1:9" x14ac:dyDescent="0.2">
      <c r="A860" s="64" t="s">
        <v>494</v>
      </c>
      <c r="B860" s="16" t="s">
        <v>216</v>
      </c>
      <c r="C860" s="16" t="s">
        <v>598</v>
      </c>
      <c r="D860" s="16" t="s">
        <v>165</v>
      </c>
      <c r="E860" s="16"/>
      <c r="F860" s="16"/>
      <c r="G860" s="32">
        <f>G861</f>
        <v>1158342.7405999997</v>
      </c>
      <c r="H860" s="32">
        <f>H861</f>
        <v>1137566.4239999999</v>
      </c>
      <c r="I860" s="32">
        <f t="shared" si="81"/>
        <v>98.2063757235412</v>
      </c>
    </row>
    <row r="861" spans="1:9" ht="27" x14ac:dyDescent="0.2">
      <c r="A861" s="70" t="s">
        <v>602</v>
      </c>
      <c r="B861" s="43" t="s">
        <v>216</v>
      </c>
      <c r="C861" s="43" t="s">
        <v>598</v>
      </c>
      <c r="D861" s="43" t="s">
        <v>165</v>
      </c>
      <c r="E861" s="43" t="s">
        <v>240</v>
      </c>
      <c r="F861" s="43"/>
      <c r="G861" s="47">
        <f>G862</f>
        <v>1158342.7405999997</v>
      </c>
      <c r="H861" s="47">
        <f>H862</f>
        <v>1137566.4239999999</v>
      </c>
      <c r="I861" s="47">
        <f t="shared" si="81"/>
        <v>98.2063757235412</v>
      </c>
    </row>
    <row r="862" spans="1:9" x14ac:dyDescent="0.2">
      <c r="A862" s="64" t="s">
        <v>354</v>
      </c>
      <c r="B862" s="16" t="s">
        <v>216</v>
      </c>
      <c r="C862" s="16" t="s">
        <v>598</v>
      </c>
      <c r="D862" s="16" t="s">
        <v>165</v>
      </c>
      <c r="E862" s="16" t="s">
        <v>241</v>
      </c>
      <c r="F862" s="16"/>
      <c r="G862" s="32">
        <f>G863+G867+G871</f>
        <v>1158342.7405999997</v>
      </c>
      <c r="H862" s="32">
        <f>H863+H867+H871</f>
        <v>1137566.4239999999</v>
      </c>
      <c r="I862" s="32">
        <f t="shared" si="81"/>
        <v>98.2063757235412</v>
      </c>
    </row>
    <row r="863" spans="1:9" ht="24" x14ac:dyDescent="0.2">
      <c r="A863" s="67" t="s">
        <v>355</v>
      </c>
      <c r="B863" s="17" t="s">
        <v>216</v>
      </c>
      <c r="C863" s="17" t="s">
        <v>598</v>
      </c>
      <c r="D863" s="17" t="s">
        <v>165</v>
      </c>
      <c r="E863" s="17" t="s">
        <v>242</v>
      </c>
      <c r="F863" s="17"/>
      <c r="G863" s="35">
        <f>G864</f>
        <v>470027.64059999998</v>
      </c>
      <c r="H863" s="35">
        <f>H864</f>
        <v>449251.32499999995</v>
      </c>
      <c r="I863" s="35">
        <f t="shared" si="81"/>
        <v>95.579767272095182</v>
      </c>
    </row>
    <row r="864" spans="1:9" ht="24" x14ac:dyDescent="0.2">
      <c r="A864" s="68" t="s">
        <v>191</v>
      </c>
      <c r="B864" s="22" t="s">
        <v>216</v>
      </c>
      <c r="C864" s="22" t="s">
        <v>598</v>
      </c>
      <c r="D864" s="22" t="s">
        <v>165</v>
      </c>
      <c r="E864" s="22" t="s">
        <v>603</v>
      </c>
      <c r="F864" s="22" t="s">
        <v>522</v>
      </c>
      <c r="G864" s="31">
        <f>G865+G866</f>
        <v>470027.64059999998</v>
      </c>
      <c r="H864" s="31">
        <f>H865+H866</f>
        <v>449251.32499999995</v>
      </c>
      <c r="I864" s="31">
        <f t="shared" si="81"/>
        <v>95.579767272095182</v>
      </c>
    </row>
    <row r="865" spans="1:9" x14ac:dyDescent="0.2">
      <c r="A865" s="68" t="s">
        <v>192</v>
      </c>
      <c r="B865" s="30">
        <v>612</v>
      </c>
      <c r="C865" s="22" t="s">
        <v>598</v>
      </c>
      <c r="D865" s="22" t="s">
        <v>165</v>
      </c>
      <c r="E865" s="22" t="s">
        <v>603</v>
      </c>
      <c r="F865" s="22" t="s">
        <v>536</v>
      </c>
      <c r="G865" s="31">
        <f>460668.5+10000-44882.2464-4122-2725.1-5648.5-1619.27513-919.70238+1256+15949.787-744.23129-401.0359</f>
        <v>426812.19589999999</v>
      </c>
      <c r="H865" s="31">
        <v>407354.50799999997</v>
      </c>
      <c r="I865" s="31">
        <f t="shared" si="81"/>
        <v>95.441159346683975</v>
      </c>
    </row>
    <row r="866" spans="1:9" x14ac:dyDescent="0.2">
      <c r="A866" s="68" t="s">
        <v>89</v>
      </c>
      <c r="B866" s="30">
        <v>612</v>
      </c>
      <c r="C866" s="22" t="s">
        <v>598</v>
      </c>
      <c r="D866" s="22" t="s">
        <v>165</v>
      </c>
      <c r="E866" s="22" t="s">
        <v>603</v>
      </c>
      <c r="F866" s="22" t="s">
        <v>90</v>
      </c>
      <c r="G866" s="31">
        <f>32778-2000+5648.5+1619.27513+919.70238+544+2560.7+744.23129+401.0359</f>
        <v>43215.444700000007</v>
      </c>
      <c r="H866" s="31">
        <v>41896.817000000003</v>
      </c>
      <c r="I866" s="31">
        <f t="shared" si="81"/>
        <v>96.948711949734943</v>
      </c>
    </row>
    <row r="867" spans="1:9" ht="37.5" customHeight="1" x14ac:dyDescent="0.2">
      <c r="A867" s="67" t="s">
        <v>476</v>
      </c>
      <c r="B867" s="44">
        <v>612</v>
      </c>
      <c r="C867" s="17" t="s">
        <v>598</v>
      </c>
      <c r="D867" s="17" t="s">
        <v>165</v>
      </c>
      <c r="E867" s="17" t="s">
        <v>243</v>
      </c>
      <c r="F867" s="17"/>
      <c r="G867" s="35">
        <f>G868</f>
        <v>685235.19999999984</v>
      </c>
      <c r="H867" s="35">
        <f>H868</f>
        <v>685235.19900000002</v>
      </c>
      <c r="I867" s="35">
        <f t="shared" si="81"/>
        <v>99.99999985406474</v>
      </c>
    </row>
    <row r="868" spans="1:9" ht="24" x14ac:dyDescent="0.2">
      <c r="A868" s="68" t="s">
        <v>191</v>
      </c>
      <c r="B868" s="30">
        <v>612</v>
      </c>
      <c r="C868" s="22" t="s">
        <v>598</v>
      </c>
      <c r="D868" s="22" t="s">
        <v>165</v>
      </c>
      <c r="E868" s="22" t="s">
        <v>243</v>
      </c>
      <c r="F868" s="22" t="s">
        <v>522</v>
      </c>
      <c r="G868" s="31">
        <f>G869+G870</f>
        <v>685235.19999999984</v>
      </c>
      <c r="H868" s="31">
        <f>H869+H870</f>
        <v>685235.19900000002</v>
      </c>
      <c r="I868" s="31">
        <f t="shared" si="81"/>
        <v>99.99999985406474</v>
      </c>
    </row>
    <row r="869" spans="1:9" x14ac:dyDescent="0.2">
      <c r="A869" s="68" t="s">
        <v>192</v>
      </c>
      <c r="B869" s="30">
        <v>612</v>
      </c>
      <c r="C869" s="22" t="s">
        <v>598</v>
      </c>
      <c r="D869" s="22" t="s">
        <v>165</v>
      </c>
      <c r="E869" s="22" t="s">
        <v>243</v>
      </c>
      <c r="F869" s="22" t="s">
        <v>536</v>
      </c>
      <c r="G869" s="31">
        <f>643035.2-2427-356.20963-4842.22817</f>
        <v>635409.76219999988</v>
      </c>
      <c r="H869" s="31">
        <v>635409.76199999999</v>
      </c>
      <c r="I869" s="31">
        <f t="shared" si="81"/>
        <v>99.999999968524264</v>
      </c>
    </row>
    <row r="870" spans="1:9" x14ac:dyDescent="0.2">
      <c r="A870" s="68" t="s">
        <v>89</v>
      </c>
      <c r="B870" s="30">
        <v>612</v>
      </c>
      <c r="C870" s="22" t="s">
        <v>598</v>
      </c>
      <c r="D870" s="22" t="s">
        <v>165</v>
      </c>
      <c r="E870" s="22" t="s">
        <v>243</v>
      </c>
      <c r="F870" s="22" t="s">
        <v>90</v>
      </c>
      <c r="G870" s="31">
        <f>42200+2427+356.20963+4842.22817</f>
        <v>49825.4378</v>
      </c>
      <c r="H870" s="31">
        <v>49825.436999999998</v>
      </c>
      <c r="I870" s="31">
        <f t="shared" si="81"/>
        <v>99.999998394394439</v>
      </c>
    </row>
    <row r="871" spans="1:9" ht="24" x14ac:dyDescent="0.2">
      <c r="A871" s="64" t="s">
        <v>390</v>
      </c>
      <c r="B871" s="16" t="s">
        <v>216</v>
      </c>
      <c r="C871" s="16" t="s">
        <v>598</v>
      </c>
      <c r="D871" s="16" t="s">
        <v>165</v>
      </c>
      <c r="E871" s="16" t="s">
        <v>386</v>
      </c>
      <c r="F871" s="16"/>
      <c r="G871" s="32">
        <f>G872</f>
        <v>3079.9</v>
      </c>
      <c r="H871" s="32">
        <f>H872</f>
        <v>3079.9</v>
      </c>
      <c r="I871" s="32">
        <f t="shared" si="81"/>
        <v>100</v>
      </c>
    </row>
    <row r="872" spans="1:9" ht="24" x14ac:dyDescent="0.2">
      <c r="A872" s="68" t="s">
        <v>191</v>
      </c>
      <c r="B872" s="22" t="s">
        <v>216</v>
      </c>
      <c r="C872" s="22" t="s">
        <v>598</v>
      </c>
      <c r="D872" s="22" t="s">
        <v>165</v>
      </c>
      <c r="E872" s="22" t="s">
        <v>386</v>
      </c>
      <c r="F872" s="22" t="s">
        <v>522</v>
      </c>
      <c r="G872" s="31">
        <f>G873</f>
        <v>3079.9</v>
      </c>
      <c r="H872" s="31">
        <f>H873</f>
        <v>3079.9</v>
      </c>
      <c r="I872" s="31">
        <f t="shared" si="81"/>
        <v>100</v>
      </c>
    </row>
    <row r="873" spans="1:9" x14ac:dyDescent="0.2">
      <c r="A873" s="68" t="s">
        <v>192</v>
      </c>
      <c r="B873" s="22" t="s">
        <v>216</v>
      </c>
      <c r="C873" s="22" t="s">
        <v>598</v>
      </c>
      <c r="D873" s="22" t="s">
        <v>165</v>
      </c>
      <c r="E873" s="22" t="s">
        <v>386</v>
      </c>
      <c r="F873" s="22" t="s">
        <v>536</v>
      </c>
      <c r="G873" s="31">
        <v>3079.9</v>
      </c>
      <c r="H873" s="31">
        <v>3079.9</v>
      </c>
      <c r="I873" s="31">
        <f t="shared" si="81"/>
        <v>100</v>
      </c>
    </row>
    <row r="874" spans="1:9" x14ac:dyDescent="0.2">
      <c r="A874" s="64" t="s">
        <v>495</v>
      </c>
      <c r="B874" s="33">
        <v>612</v>
      </c>
      <c r="C874" s="16" t="s">
        <v>598</v>
      </c>
      <c r="D874" s="16" t="s">
        <v>599</v>
      </c>
      <c r="E874" s="16"/>
      <c r="F874" s="17"/>
      <c r="G874" s="32">
        <f>G875</f>
        <v>1184610.8</v>
      </c>
      <c r="H874" s="32">
        <f>H875</f>
        <v>1160484.06</v>
      </c>
      <c r="I874" s="32">
        <f t="shared" si="81"/>
        <v>97.963319260638187</v>
      </c>
    </row>
    <row r="875" spans="1:9" ht="27" x14ac:dyDescent="0.2">
      <c r="A875" s="70" t="s">
        <v>602</v>
      </c>
      <c r="B875" s="43" t="s">
        <v>216</v>
      </c>
      <c r="C875" s="43" t="s">
        <v>598</v>
      </c>
      <c r="D875" s="43" t="s">
        <v>599</v>
      </c>
      <c r="E875" s="43" t="s">
        <v>240</v>
      </c>
      <c r="F875" s="43"/>
      <c r="G875" s="47">
        <f>G876+G885</f>
        <v>1184610.8</v>
      </c>
      <c r="H875" s="47">
        <f>H876+H885</f>
        <v>1160484.06</v>
      </c>
      <c r="I875" s="47">
        <f t="shared" si="81"/>
        <v>97.963319260638187</v>
      </c>
    </row>
    <row r="876" spans="1:9" x14ac:dyDescent="0.2">
      <c r="A876" s="64" t="s">
        <v>354</v>
      </c>
      <c r="B876" s="16" t="s">
        <v>216</v>
      </c>
      <c r="C876" s="16" t="s">
        <v>598</v>
      </c>
      <c r="D876" s="16" t="s">
        <v>599</v>
      </c>
      <c r="E876" s="16" t="s">
        <v>241</v>
      </c>
      <c r="F876" s="16"/>
      <c r="G876" s="32">
        <f>G877+G881</f>
        <v>1164610.8</v>
      </c>
      <c r="H876" s="32">
        <f>H877+H881</f>
        <v>1142621.9450000001</v>
      </c>
      <c r="I876" s="32">
        <f t="shared" si="81"/>
        <v>98.1119138685645</v>
      </c>
    </row>
    <row r="877" spans="1:9" ht="24" x14ac:dyDescent="0.2">
      <c r="A877" s="69" t="s">
        <v>356</v>
      </c>
      <c r="B877" s="45">
        <v>612</v>
      </c>
      <c r="C877" s="25" t="s">
        <v>598</v>
      </c>
      <c r="D877" s="25" t="s">
        <v>599</v>
      </c>
      <c r="E877" s="25" t="s">
        <v>246</v>
      </c>
      <c r="F877" s="25"/>
      <c r="G877" s="85">
        <f>G878</f>
        <v>288167.8</v>
      </c>
      <c r="H877" s="85">
        <f>H878</f>
        <v>266179.38799999998</v>
      </c>
      <c r="I877" s="85">
        <f t="shared" si="81"/>
        <v>92.369580501360659</v>
      </c>
    </row>
    <row r="878" spans="1:9" ht="24" x14ac:dyDescent="0.2">
      <c r="A878" s="68" t="s">
        <v>191</v>
      </c>
      <c r="B878" s="30">
        <v>612</v>
      </c>
      <c r="C878" s="22" t="s">
        <v>598</v>
      </c>
      <c r="D878" s="22" t="s">
        <v>599</v>
      </c>
      <c r="E878" s="22" t="s">
        <v>604</v>
      </c>
      <c r="F878" s="22" t="s">
        <v>522</v>
      </c>
      <c r="G878" s="31">
        <f>G879+G880</f>
        <v>288167.8</v>
      </c>
      <c r="H878" s="31">
        <f>H879+H880</f>
        <v>266179.38799999998</v>
      </c>
      <c r="I878" s="31">
        <f t="shared" si="81"/>
        <v>92.369580501360659</v>
      </c>
    </row>
    <row r="879" spans="1:9" x14ac:dyDescent="0.2">
      <c r="A879" s="68" t="s">
        <v>192</v>
      </c>
      <c r="B879" s="30">
        <v>612</v>
      </c>
      <c r="C879" s="22" t="s">
        <v>598</v>
      </c>
      <c r="D879" s="22" t="s">
        <v>599</v>
      </c>
      <c r="E879" s="22" t="s">
        <v>604</v>
      </c>
      <c r="F879" s="22" t="s">
        <v>536</v>
      </c>
      <c r="G879" s="31">
        <f>272913.8+10000-4400+1600+205+103.798</f>
        <v>280422.598</v>
      </c>
      <c r="H879" s="31">
        <v>258816.13699999999</v>
      </c>
      <c r="I879" s="31">
        <f t="shared" si="81"/>
        <v>92.295035723190892</v>
      </c>
    </row>
    <row r="880" spans="1:9" x14ac:dyDescent="0.2">
      <c r="A880" s="68" t="s">
        <v>89</v>
      </c>
      <c r="B880" s="30">
        <v>612</v>
      </c>
      <c r="C880" s="22" t="s">
        <v>598</v>
      </c>
      <c r="D880" s="22" t="s">
        <v>599</v>
      </c>
      <c r="E880" s="22" t="s">
        <v>604</v>
      </c>
      <c r="F880" s="22" t="s">
        <v>90</v>
      </c>
      <c r="G880" s="31">
        <f>9654-1600-205-103.798</f>
        <v>7745.2020000000002</v>
      </c>
      <c r="H880" s="31">
        <v>7363.2510000000002</v>
      </c>
      <c r="I880" s="31">
        <f t="shared" si="81"/>
        <v>95.068546953326717</v>
      </c>
    </row>
    <row r="881" spans="1:9" ht="52.5" customHeight="1" x14ac:dyDescent="0.2">
      <c r="A881" s="51" t="s">
        <v>484</v>
      </c>
      <c r="B881" s="17" t="s">
        <v>216</v>
      </c>
      <c r="C881" s="17" t="s">
        <v>598</v>
      </c>
      <c r="D881" s="17" t="s">
        <v>599</v>
      </c>
      <c r="E881" s="17" t="s">
        <v>357</v>
      </c>
      <c r="F881" s="17"/>
      <c r="G881" s="35">
        <f>G882</f>
        <v>876443</v>
      </c>
      <c r="H881" s="35">
        <f>H882</f>
        <v>876442.55700000003</v>
      </c>
      <c r="I881" s="35">
        <f t="shared" si="81"/>
        <v>99.999949454784854</v>
      </c>
    </row>
    <row r="882" spans="1:9" s="38" customFormat="1" ht="24" x14ac:dyDescent="0.2">
      <c r="A882" s="68" t="s">
        <v>191</v>
      </c>
      <c r="B882" s="22" t="s">
        <v>216</v>
      </c>
      <c r="C882" s="22" t="s">
        <v>598</v>
      </c>
      <c r="D882" s="22" t="s">
        <v>599</v>
      </c>
      <c r="E882" s="22" t="s">
        <v>357</v>
      </c>
      <c r="F882" s="22" t="s">
        <v>522</v>
      </c>
      <c r="G882" s="31">
        <f>G883+G884</f>
        <v>876443</v>
      </c>
      <c r="H882" s="31">
        <f>H883+H884</f>
        <v>876442.55700000003</v>
      </c>
      <c r="I882" s="31">
        <f t="shared" si="81"/>
        <v>99.999949454784854</v>
      </c>
    </row>
    <row r="883" spans="1:9" x14ac:dyDescent="0.2">
      <c r="A883" s="68" t="s">
        <v>192</v>
      </c>
      <c r="B883" s="22" t="s">
        <v>216</v>
      </c>
      <c r="C883" s="22" t="s">
        <v>598</v>
      </c>
      <c r="D883" s="22" t="s">
        <v>599</v>
      </c>
      <c r="E883" s="22" t="s">
        <v>357</v>
      </c>
      <c r="F883" s="22" t="s">
        <v>536</v>
      </c>
      <c r="G883" s="31">
        <f>837118+4600-2123.3397</f>
        <v>839594.66029999999</v>
      </c>
      <c r="H883" s="31">
        <v>839594.21799999999</v>
      </c>
      <c r="I883" s="31">
        <f t="shared" ref="I883:I914" si="82">H883/G883*100</f>
        <v>99.999947319817423</v>
      </c>
    </row>
    <row r="884" spans="1:9" x14ac:dyDescent="0.2">
      <c r="A884" s="68" t="s">
        <v>89</v>
      </c>
      <c r="B884" s="22" t="s">
        <v>216</v>
      </c>
      <c r="C884" s="22" t="s">
        <v>598</v>
      </c>
      <c r="D884" s="22" t="s">
        <v>599</v>
      </c>
      <c r="E884" s="22" t="s">
        <v>357</v>
      </c>
      <c r="F884" s="22" t="s">
        <v>90</v>
      </c>
      <c r="G884" s="31">
        <f>34725+2123.3397</f>
        <v>36848.339699999997</v>
      </c>
      <c r="H884" s="31">
        <v>36848.339</v>
      </c>
      <c r="I884" s="31">
        <f t="shared" si="82"/>
        <v>99.999998100321477</v>
      </c>
    </row>
    <row r="885" spans="1:9" x14ac:dyDescent="0.2">
      <c r="A885" s="64" t="s">
        <v>366</v>
      </c>
      <c r="B885" s="16" t="s">
        <v>216</v>
      </c>
      <c r="C885" s="16" t="s">
        <v>598</v>
      </c>
      <c r="D885" s="16" t="s">
        <v>599</v>
      </c>
      <c r="E885" s="16" t="s">
        <v>249</v>
      </c>
      <c r="F885" s="16"/>
      <c r="G885" s="32">
        <f>G886</f>
        <v>20000</v>
      </c>
      <c r="H885" s="32">
        <f>H886</f>
        <v>17862.115000000002</v>
      </c>
      <c r="I885" s="32">
        <f t="shared" si="82"/>
        <v>89.310575</v>
      </c>
    </row>
    <row r="886" spans="1:9" x14ac:dyDescent="0.2">
      <c r="A886" s="101" t="s">
        <v>258</v>
      </c>
      <c r="B886" s="17" t="s">
        <v>216</v>
      </c>
      <c r="C886" s="17" t="s">
        <v>598</v>
      </c>
      <c r="D886" s="17" t="s">
        <v>599</v>
      </c>
      <c r="E886" s="17" t="s">
        <v>605</v>
      </c>
      <c r="F886" s="17"/>
      <c r="G886" s="35">
        <f>G887</f>
        <v>20000</v>
      </c>
      <c r="H886" s="35">
        <f>H887</f>
        <v>17862.115000000002</v>
      </c>
      <c r="I886" s="35">
        <f t="shared" si="82"/>
        <v>89.310575</v>
      </c>
    </row>
    <row r="887" spans="1:9" ht="24" x14ac:dyDescent="0.2">
      <c r="A887" s="68" t="s">
        <v>191</v>
      </c>
      <c r="B887" s="22" t="s">
        <v>216</v>
      </c>
      <c r="C887" s="22" t="s">
        <v>598</v>
      </c>
      <c r="D887" s="22" t="s">
        <v>599</v>
      </c>
      <c r="E887" s="22" t="s">
        <v>606</v>
      </c>
      <c r="F887" s="22" t="s">
        <v>522</v>
      </c>
      <c r="G887" s="31">
        <f>G888+G889</f>
        <v>20000</v>
      </c>
      <c r="H887" s="31">
        <f>H888+H889</f>
        <v>17862.115000000002</v>
      </c>
      <c r="I887" s="31">
        <f t="shared" si="82"/>
        <v>89.310575</v>
      </c>
    </row>
    <row r="888" spans="1:9" x14ac:dyDescent="0.2">
      <c r="A888" s="68" t="s">
        <v>192</v>
      </c>
      <c r="B888" s="22" t="s">
        <v>216</v>
      </c>
      <c r="C888" s="22" t="s">
        <v>598</v>
      </c>
      <c r="D888" s="22" t="s">
        <v>599</v>
      </c>
      <c r="E888" s="22" t="s">
        <v>606</v>
      </c>
      <c r="F888" s="22" t="s">
        <v>536</v>
      </c>
      <c r="G888" s="31">
        <f>19142+154.715</f>
        <v>19296.715</v>
      </c>
      <c r="H888" s="31">
        <v>17430.285</v>
      </c>
      <c r="I888" s="31">
        <f t="shared" si="82"/>
        <v>90.327731948158018</v>
      </c>
    </row>
    <row r="889" spans="1:9" x14ac:dyDescent="0.2">
      <c r="A889" s="68" t="s">
        <v>89</v>
      </c>
      <c r="B889" s="22" t="s">
        <v>216</v>
      </c>
      <c r="C889" s="22" t="s">
        <v>598</v>
      </c>
      <c r="D889" s="22" t="s">
        <v>599</v>
      </c>
      <c r="E889" s="22" t="s">
        <v>606</v>
      </c>
      <c r="F889" s="22" t="s">
        <v>90</v>
      </c>
      <c r="G889" s="31">
        <f>858-154.715</f>
        <v>703.28499999999997</v>
      </c>
      <c r="H889" s="31">
        <v>431.83</v>
      </c>
      <c r="I889" s="31">
        <f t="shared" si="82"/>
        <v>61.401849890158331</v>
      </c>
    </row>
    <row r="890" spans="1:9" x14ac:dyDescent="0.2">
      <c r="A890" s="71" t="s">
        <v>358</v>
      </c>
      <c r="B890" s="16" t="s">
        <v>216</v>
      </c>
      <c r="C890" s="16" t="s">
        <v>598</v>
      </c>
      <c r="D890" s="16" t="s">
        <v>591</v>
      </c>
      <c r="E890" s="16"/>
      <c r="F890" s="16"/>
      <c r="G890" s="32">
        <f>G891</f>
        <v>98134.2</v>
      </c>
      <c r="H890" s="32">
        <f>H891</f>
        <v>96978.516999999993</v>
      </c>
      <c r="I890" s="32">
        <f t="shared" si="82"/>
        <v>98.822344299948426</v>
      </c>
    </row>
    <row r="891" spans="1:9" ht="27" x14ac:dyDescent="0.2">
      <c r="A891" s="70" t="s">
        <v>602</v>
      </c>
      <c r="B891" s="43" t="s">
        <v>216</v>
      </c>
      <c r="C891" s="43" t="s">
        <v>598</v>
      </c>
      <c r="D891" s="43" t="s">
        <v>591</v>
      </c>
      <c r="E891" s="43" t="s">
        <v>240</v>
      </c>
      <c r="F891" s="25"/>
      <c r="G891" s="47">
        <f>G892</f>
        <v>98134.2</v>
      </c>
      <c r="H891" s="47">
        <f>H892</f>
        <v>96978.516999999993</v>
      </c>
      <c r="I891" s="35">
        <f t="shared" si="82"/>
        <v>98.822344299948426</v>
      </c>
    </row>
    <row r="892" spans="1:9" x14ac:dyDescent="0.2">
      <c r="A892" s="64" t="s">
        <v>354</v>
      </c>
      <c r="B892" s="16" t="s">
        <v>216</v>
      </c>
      <c r="C892" s="16" t="s">
        <v>598</v>
      </c>
      <c r="D892" s="16" t="s">
        <v>591</v>
      </c>
      <c r="E892" s="16" t="s">
        <v>241</v>
      </c>
      <c r="F892" s="22"/>
      <c r="G892" s="32">
        <f>G893+G897</f>
        <v>98134.2</v>
      </c>
      <c r="H892" s="32">
        <f>H893+H897</f>
        <v>96978.516999999993</v>
      </c>
      <c r="I892" s="32">
        <f t="shared" si="82"/>
        <v>98.822344299948426</v>
      </c>
    </row>
    <row r="893" spans="1:9" ht="24" x14ac:dyDescent="0.2">
      <c r="A893" s="67" t="s">
        <v>359</v>
      </c>
      <c r="B893" s="17" t="s">
        <v>216</v>
      </c>
      <c r="C893" s="17" t="s">
        <v>598</v>
      </c>
      <c r="D893" s="17" t="s">
        <v>591</v>
      </c>
      <c r="E893" s="17" t="s">
        <v>247</v>
      </c>
      <c r="F893" s="17"/>
      <c r="G893" s="35">
        <f>G894</f>
        <v>97634.2</v>
      </c>
      <c r="H893" s="35">
        <f>H894</f>
        <v>96478.516999999993</v>
      </c>
      <c r="I893" s="35">
        <f t="shared" si="82"/>
        <v>98.816313341021882</v>
      </c>
    </row>
    <row r="894" spans="1:9" ht="24" x14ac:dyDescent="0.2">
      <c r="A894" s="68" t="s">
        <v>191</v>
      </c>
      <c r="B894" s="22" t="s">
        <v>216</v>
      </c>
      <c r="C894" s="22" t="s">
        <v>598</v>
      </c>
      <c r="D894" s="22" t="s">
        <v>591</v>
      </c>
      <c r="E894" s="22" t="s">
        <v>607</v>
      </c>
      <c r="F894" s="22" t="s">
        <v>522</v>
      </c>
      <c r="G894" s="31">
        <f>G895+G896</f>
        <v>97634.2</v>
      </c>
      <c r="H894" s="31">
        <f>H895+H896</f>
        <v>96478.516999999993</v>
      </c>
      <c r="I894" s="31">
        <f t="shared" si="82"/>
        <v>98.816313341021882</v>
      </c>
    </row>
    <row r="895" spans="1:9" x14ac:dyDescent="0.2">
      <c r="A895" s="68" t="s">
        <v>192</v>
      </c>
      <c r="B895" s="30">
        <v>612</v>
      </c>
      <c r="C895" s="22" t="s">
        <v>598</v>
      </c>
      <c r="D895" s="22" t="s">
        <v>591</v>
      </c>
      <c r="E895" s="22" t="s">
        <v>607</v>
      </c>
      <c r="F895" s="22" t="s">
        <v>536</v>
      </c>
      <c r="G895" s="31">
        <f>2873-19.86475</f>
        <v>2853.1352499999998</v>
      </c>
      <c r="H895" s="31">
        <v>2771.8510000000001</v>
      </c>
      <c r="I895" s="31">
        <f t="shared" si="82"/>
        <v>97.151055141882964</v>
      </c>
    </row>
    <row r="896" spans="1:9" x14ac:dyDescent="0.2">
      <c r="A896" s="68" t="s">
        <v>89</v>
      </c>
      <c r="B896" s="30">
        <v>612</v>
      </c>
      <c r="C896" s="22" t="s">
        <v>598</v>
      </c>
      <c r="D896" s="22" t="s">
        <v>591</v>
      </c>
      <c r="E896" s="22" t="s">
        <v>607</v>
      </c>
      <c r="F896" s="22" t="s">
        <v>90</v>
      </c>
      <c r="G896" s="31">
        <f>94761.2+19.86475</f>
        <v>94781.06474999999</v>
      </c>
      <c r="H896" s="31">
        <v>93706.665999999997</v>
      </c>
      <c r="I896" s="31">
        <f t="shared" si="82"/>
        <v>98.866441569490817</v>
      </c>
    </row>
    <row r="897" spans="1:9" ht="24" x14ac:dyDescent="0.2">
      <c r="A897" s="64" t="s">
        <v>385</v>
      </c>
      <c r="B897" s="16" t="s">
        <v>216</v>
      </c>
      <c r="C897" s="16" t="s">
        <v>598</v>
      </c>
      <c r="D897" s="16" t="s">
        <v>591</v>
      </c>
      <c r="E897" s="16" t="s">
        <v>386</v>
      </c>
      <c r="F897" s="16"/>
      <c r="G897" s="32">
        <f>G898</f>
        <v>500</v>
      </c>
      <c r="H897" s="32">
        <f>H898</f>
        <v>500</v>
      </c>
      <c r="I897" s="32">
        <f t="shared" si="82"/>
        <v>100</v>
      </c>
    </row>
    <row r="898" spans="1:9" ht="24" x14ac:dyDescent="0.2">
      <c r="A898" s="68" t="s">
        <v>191</v>
      </c>
      <c r="B898" s="22" t="s">
        <v>216</v>
      </c>
      <c r="C898" s="22" t="s">
        <v>598</v>
      </c>
      <c r="D898" s="22" t="s">
        <v>591</v>
      </c>
      <c r="E898" s="22" t="s">
        <v>386</v>
      </c>
      <c r="F898" s="22" t="s">
        <v>522</v>
      </c>
      <c r="G898" s="31">
        <f>G899</f>
        <v>500</v>
      </c>
      <c r="H898" s="31">
        <f>H899</f>
        <v>500</v>
      </c>
      <c r="I898" s="31">
        <f t="shared" si="82"/>
        <v>100</v>
      </c>
    </row>
    <row r="899" spans="1:9" x14ac:dyDescent="0.2">
      <c r="A899" s="68" t="s">
        <v>89</v>
      </c>
      <c r="B899" s="22" t="s">
        <v>216</v>
      </c>
      <c r="C899" s="22" t="s">
        <v>598</v>
      </c>
      <c r="D899" s="22" t="s">
        <v>591</v>
      </c>
      <c r="E899" s="22" t="s">
        <v>386</v>
      </c>
      <c r="F899" s="22" t="s">
        <v>90</v>
      </c>
      <c r="G899" s="31">
        <v>500</v>
      </c>
      <c r="H899" s="31">
        <v>500</v>
      </c>
      <c r="I899" s="31">
        <f t="shared" si="82"/>
        <v>100</v>
      </c>
    </row>
    <row r="900" spans="1:9" x14ac:dyDescent="0.2">
      <c r="A900" s="64" t="s">
        <v>496</v>
      </c>
      <c r="B900" s="16" t="s">
        <v>216</v>
      </c>
      <c r="C900" s="16" t="s">
        <v>598</v>
      </c>
      <c r="D900" s="16" t="s">
        <v>598</v>
      </c>
      <c r="E900" s="16"/>
      <c r="F900" s="16"/>
      <c r="G900" s="32">
        <f t="shared" ref="G900:H904" si="83">G901</f>
        <v>453</v>
      </c>
      <c r="H900" s="32">
        <f t="shared" si="83"/>
        <v>359.66199999999998</v>
      </c>
      <c r="I900" s="32">
        <f t="shared" si="82"/>
        <v>79.395584988962469</v>
      </c>
    </row>
    <row r="901" spans="1:9" x14ac:dyDescent="0.2">
      <c r="A901" s="65" t="s">
        <v>163</v>
      </c>
      <c r="B901" s="17" t="s">
        <v>216</v>
      </c>
      <c r="C901" s="17" t="s">
        <v>598</v>
      </c>
      <c r="D901" s="17" t="s">
        <v>598</v>
      </c>
      <c r="E901" s="17" t="s">
        <v>293</v>
      </c>
      <c r="F901" s="17"/>
      <c r="G901" s="35">
        <f t="shared" si="83"/>
        <v>453</v>
      </c>
      <c r="H901" s="35">
        <f t="shared" si="83"/>
        <v>359.66199999999998</v>
      </c>
      <c r="I901" s="35">
        <f t="shared" si="82"/>
        <v>79.395584988962469</v>
      </c>
    </row>
    <row r="902" spans="1:9" x14ac:dyDescent="0.2">
      <c r="A902" s="66" t="s">
        <v>381</v>
      </c>
      <c r="B902" s="16" t="s">
        <v>216</v>
      </c>
      <c r="C902" s="16" t="s">
        <v>598</v>
      </c>
      <c r="D902" s="16" t="s">
        <v>598</v>
      </c>
      <c r="E902" s="16" t="s">
        <v>294</v>
      </c>
      <c r="F902" s="16"/>
      <c r="G902" s="32">
        <f t="shared" si="83"/>
        <v>453</v>
      </c>
      <c r="H902" s="32">
        <f t="shared" si="83"/>
        <v>359.66199999999998</v>
      </c>
      <c r="I902" s="32">
        <f t="shared" si="82"/>
        <v>79.395584988962469</v>
      </c>
    </row>
    <row r="903" spans="1:9" x14ac:dyDescent="0.2">
      <c r="A903" s="65" t="s">
        <v>410</v>
      </c>
      <c r="B903" s="17" t="s">
        <v>216</v>
      </c>
      <c r="C903" s="17" t="s">
        <v>598</v>
      </c>
      <c r="D903" s="17" t="s">
        <v>598</v>
      </c>
      <c r="E903" s="17" t="s">
        <v>28</v>
      </c>
      <c r="F903" s="17"/>
      <c r="G903" s="35">
        <f t="shared" si="83"/>
        <v>453</v>
      </c>
      <c r="H903" s="35">
        <f t="shared" si="83"/>
        <v>359.66199999999998</v>
      </c>
      <c r="I903" s="35">
        <f t="shared" si="82"/>
        <v>79.395584988962469</v>
      </c>
    </row>
    <row r="904" spans="1:9" ht="24" x14ac:dyDescent="0.2">
      <c r="A904" s="68" t="s">
        <v>191</v>
      </c>
      <c r="B904" s="22" t="s">
        <v>216</v>
      </c>
      <c r="C904" s="22" t="s">
        <v>598</v>
      </c>
      <c r="D904" s="22" t="s">
        <v>598</v>
      </c>
      <c r="E904" s="22" t="s">
        <v>28</v>
      </c>
      <c r="F904" s="22" t="s">
        <v>522</v>
      </c>
      <c r="G904" s="31">
        <f t="shared" si="83"/>
        <v>453</v>
      </c>
      <c r="H904" s="31">
        <f t="shared" si="83"/>
        <v>359.66199999999998</v>
      </c>
      <c r="I904" s="31">
        <f t="shared" si="82"/>
        <v>79.395584988962469</v>
      </c>
    </row>
    <row r="905" spans="1:9" x14ac:dyDescent="0.2">
      <c r="A905" s="68" t="s">
        <v>192</v>
      </c>
      <c r="B905" s="22" t="s">
        <v>216</v>
      </c>
      <c r="C905" s="22" t="s">
        <v>598</v>
      </c>
      <c r="D905" s="22" t="s">
        <v>598</v>
      </c>
      <c r="E905" s="22" t="s">
        <v>28</v>
      </c>
      <c r="F905" s="22" t="s">
        <v>536</v>
      </c>
      <c r="G905" s="31">
        <v>453</v>
      </c>
      <c r="H905" s="31">
        <v>359.66199999999998</v>
      </c>
      <c r="I905" s="31">
        <f t="shared" si="82"/>
        <v>79.395584988962469</v>
      </c>
    </row>
    <row r="906" spans="1:9" x14ac:dyDescent="0.2">
      <c r="A906" s="64" t="s">
        <v>497</v>
      </c>
      <c r="B906" s="16" t="s">
        <v>216</v>
      </c>
      <c r="C906" s="16" t="s">
        <v>598</v>
      </c>
      <c r="D906" s="16" t="s">
        <v>592</v>
      </c>
      <c r="E906" s="16"/>
      <c r="F906" s="22"/>
      <c r="G906" s="32">
        <f>G907+G949</f>
        <v>122676.914</v>
      </c>
      <c r="H906" s="32">
        <f>H907+H949</f>
        <v>94181.67</v>
      </c>
      <c r="I906" s="32">
        <f t="shared" si="82"/>
        <v>76.772121933226984</v>
      </c>
    </row>
    <row r="907" spans="1:9" ht="27" x14ac:dyDescent="0.2">
      <c r="A907" s="70" t="s">
        <v>602</v>
      </c>
      <c r="B907" s="43" t="s">
        <v>216</v>
      </c>
      <c r="C907" s="43" t="s">
        <v>598</v>
      </c>
      <c r="D907" s="43" t="s">
        <v>592</v>
      </c>
      <c r="E907" s="43" t="s">
        <v>240</v>
      </c>
      <c r="F907" s="22"/>
      <c r="G907" s="47">
        <f>G908+G917+G938</f>
        <v>122518</v>
      </c>
      <c r="H907" s="47">
        <f>H908+H917+H938</f>
        <v>94022.755999999994</v>
      </c>
      <c r="I907" s="47">
        <f t="shared" si="82"/>
        <v>76.741993829478119</v>
      </c>
    </row>
    <row r="908" spans="1:9" x14ac:dyDescent="0.2">
      <c r="A908" s="64" t="s">
        <v>354</v>
      </c>
      <c r="B908" s="16" t="s">
        <v>216</v>
      </c>
      <c r="C908" s="16" t="s">
        <v>598</v>
      </c>
      <c r="D908" s="16" t="s">
        <v>592</v>
      </c>
      <c r="E908" s="16" t="s">
        <v>241</v>
      </c>
      <c r="F908" s="16"/>
      <c r="G908" s="32">
        <f>G909+G913</f>
        <v>107172</v>
      </c>
      <c r="H908" s="32">
        <f>H909+H913</f>
        <v>79538.099999999991</v>
      </c>
      <c r="I908" s="32">
        <f t="shared" si="82"/>
        <v>74.215373418430175</v>
      </c>
    </row>
    <row r="909" spans="1:9" ht="24" x14ac:dyDescent="0.2">
      <c r="A909" s="67" t="s">
        <v>361</v>
      </c>
      <c r="B909" s="17" t="s">
        <v>216</v>
      </c>
      <c r="C909" s="17" t="s">
        <v>598</v>
      </c>
      <c r="D909" s="17" t="s">
        <v>592</v>
      </c>
      <c r="E909" s="17" t="s">
        <v>360</v>
      </c>
      <c r="F909" s="17"/>
      <c r="G909" s="35">
        <f>G910</f>
        <v>10000</v>
      </c>
      <c r="H909" s="35">
        <f>H910</f>
        <v>9274.2000000000007</v>
      </c>
      <c r="I909" s="35">
        <f t="shared" si="82"/>
        <v>92.742000000000004</v>
      </c>
    </row>
    <row r="910" spans="1:9" ht="24" x14ac:dyDescent="0.2">
      <c r="A910" s="68" t="s">
        <v>191</v>
      </c>
      <c r="B910" s="22" t="s">
        <v>216</v>
      </c>
      <c r="C910" s="22" t="s">
        <v>598</v>
      </c>
      <c r="D910" s="22" t="s">
        <v>592</v>
      </c>
      <c r="E910" s="22" t="s">
        <v>608</v>
      </c>
      <c r="F910" s="22" t="s">
        <v>522</v>
      </c>
      <c r="G910" s="31">
        <f>G911+G912</f>
        <v>10000</v>
      </c>
      <c r="H910" s="31">
        <f>H911+H912</f>
        <v>9274.2000000000007</v>
      </c>
      <c r="I910" s="31">
        <f t="shared" si="82"/>
        <v>92.742000000000004</v>
      </c>
    </row>
    <row r="911" spans="1:9" x14ac:dyDescent="0.2">
      <c r="A911" s="68" t="s">
        <v>192</v>
      </c>
      <c r="B911" s="30">
        <v>612</v>
      </c>
      <c r="C911" s="22" t="s">
        <v>598</v>
      </c>
      <c r="D911" s="22" t="s">
        <v>592</v>
      </c>
      <c r="E911" s="22" t="s">
        <v>608</v>
      </c>
      <c r="F911" s="22" t="s">
        <v>536</v>
      </c>
      <c r="G911" s="31">
        <v>9800</v>
      </c>
      <c r="H911" s="31">
        <v>9074.2000000000007</v>
      </c>
      <c r="I911" s="31">
        <f t="shared" si="82"/>
        <v>92.593877551020427</v>
      </c>
    </row>
    <row r="912" spans="1:9" x14ac:dyDescent="0.2">
      <c r="A912" s="68" t="s">
        <v>89</v>
      </c>
      <c r="B912" s="30">
        <v>612</v>
      </c>
      <c r="C912" s="22" t="s">
        <v>598</v>
      </c>
      <c r="D912" s="22" t="s">
        <v>592</v>
      </c>
      <c r="E912" s="22" t="s">
        <v>608</v>
      </c>
      <c r="F912" s="22" t="s">
        <v>90</v>
      </c>
      <c r="G912" s="31">
        <v>200</v>
      </c>
      <c r="H912" s="31">
        <v>200</v>
      </c>
      <c r="I912" s="31">
        <f t="shared" si="82"/>
        <v>100</v>
      </c>
    </row>
    <row r="913" spans="1:9" ht="24" x14ac:dyDescent="0.2">
      <c r="A913" s="67" t="s">
        <v>364</v>
      </c>
      <c r="B913" s="45">
        <v>612</v>
      </c>
      <c r="C913" s="25" t="s">
        <v>598</v>
      </c>
      <c r="D913" s="25" t="s">
        <v>592</v>
      </c>
      <c r="E913" s="17" t="s">
        <v>362</v>
      </c>
      <c r="F913" s="17"/>
      <c r="G913" s="35">
        <f>G914</f>
        <v>97172</v>
      </c>
      <c r="H913" s="35">
        <f>H914</f>
        <v>70263.899999999994</v>
      </c>
      <c r="I913" s="35">
        <f t="shared" si="82"/>
        <v>72.308792656320747</v>
      </c>
    </row>
    <row r="914" spans="1:9" ht="24" x14ac:dyDescent="0.2">
      <c r="A914" s="68" t="s">
        <v>191</v>
      </c>
      <c r="B914" s="22" t="s">
        <v>216</v>
      </c>
      <c r="C914" s="22" t="s">
        <v>598</v>
      </c>
      <c r="D914" s="22" t="s">
        <v>592</v>
      </c>
      <c r="E914" s="22" t="s">
        <v>609</v>
      </c>
      <c r="F914" s="22" t="s">
        <v>522</v>
      </c>
      <c r="G914" s="31">
        <f>G915+G916</f>
        <v>97172</v>
      </c>
      <c r="H914" s="31">
        <f>H915+H916</f>
        <v>70263.899999999994</v>
      </c>
      <c r="I914" s="31">
        <f t="shared" si="82"/>
        <v>72.308792656320747</v>
      </c>
    </row>
    <row r="915" spans="1:9" x14ac:dyDescent="0.2">
      <c r="A915" s="68" t="s">
        <v>192</v>
      </c>
      <c r="B915" s="30">
        <v>612</v>
      </c>
      <c r="C915" s="22" t="s">
        <v>598</v>
      </c>
      <c r="D915" s="22" t="s">
        <v>592</v>
      </c>
      <c r="E915" s="22" t="s">
        <v>609</v>
      </c>
      <c r="F915" s="22" t="s">
        <v>536</v>
      </c>
      <c r="G915" s="31">
        <f>95308.55-2388.5-3885-4.7</f>
        <v>89030.35</v>
      </c>
      <c r="H915" s="31">
        <v>65262.5</v>
      </c>
      <c r="I915" s="31">
        <f t="shared" ref="I915:I946" si="84">H915/G915*100</f>
        <v>73.303654315635058</v>
      </c>
    </row>
    <row r="916" spans="1:9" x14ac:dyDescent="0.2">
      <c r="A916" s="68" t="s">
        <v>89</v>
      </c>
      <c r="B916" s="30">
        <v>612</v>
      </c>
      <c r="C916" s="22" t="s">
        <v>598</v>
      </c>
      <c r="D916" s="22" t="s">
        <v>592</v>
      </c>
      <c r="E916" s="22" t="s">
        <v>609</v>
      </c>
      <c r="F916" s="22" t="s">
        <v>90</v>
      </c>
      <c r="G916" s="31">
        <f>6028.45+2388.5-280+4.7</f>
        <v>8141.6500000000005</v>
      </c>
      <c r="H916" s="31">
        <v>5001.3999999999996</v>
      </c>
      <c r="I916" s="31">
        <f t="shared" si="84"/>
        <v>61.429808454060286</v>
      </c>
    </row>
    <row r="917" spans="1:9" x14ac:dyDescent="0.2">
      <c r="A917" s="64" t="s">
        <v>578</v>
      </c>
      <c r="B917" s="16" t="s">
        <v>216</v>
      </c>
      <c r="C917" s="16" t="s">
        <v>598</v>
      </c>
      <c r="D917" s="16" t="s">
        <v>592</v>
      </c>
      <c r="E917" s="16" t="s">
        <v>248</v>
      </c>
      <c r="F917" s="16"/>
      <c r="G917" s="32">
        <f>G918+G926+G931</f>
        <v>6120</v>
      </c>
      <c r="H917" s="32">
        <f>H918+H926+H931</f>
        <v>5371.777</v>
      </c>
      <c r="I917" s="32">
        <f t="shared" si="84"/>
        <v>87.774133986928106</v>
      </c>
    </row>
    <row r="918" spans="1:9" ht="25.5" x14ac:dyDescent="0.2">
      <c r="A918" s="56" t="s">
        <v>251</v>
      </c>
      <c r="B918" s="16" t="s">
        <v>216</v>
      </c>
      <c r="C918" s="16" t="s">
        <v>598</v>
      </c>
      <c r="D918" s="16" t="s">
        <v>592</v>
      </c>
      <c r="E918" s="16" t="s">
        <v>219</v>
      </c>
      <c r="F918" s="17"/>
      <c r="G918" s="32">
        <f>G919</f>
        <v>3935</v>
      </c>
      <c r="H918" s="32">
        <f>H919</f>
        <v>3930.04</v>
      </c>
      <c r="I918" s="32">
        <f t="shared" si="84"/>
        <v>99.873951715374844</v>
      </c>
    </row>
    <row r="919" spans="1:9" x14ac:dyDescent="0.2">
      <c r="A919" s="69" t="s">
        <v>593</v>
      </c>
      <c r="B919" s="45">
        <v>612</v>
      </c>
      <c r="C919" s="25" t="s">
        <v>598</v>
      </c>
      <c r="D919" s="25" t="s">
        <v>592</v>
      </c>
      <c r="E919" s="25" t="s">
        <v>610</v>
      </c>
      <c r="F919" s="25"/>
      <c r="G919" s="85">
        <f>G920+G922+G924</f>
        <v>3935</v>
      </c>
      <c r="H919" s="85">
        <f>H920+H922+H924</f>
        <v>3930.04</v>
      </c>
      <c r="I919" s="85">
        <f t="shared" si="84"/>
        <v>99.873951715374844</v>
      </c>
    </row>
    <row r="920" spans="1:9" ht="36" x14ac:dyDescent="0.2">
      <c r="A920" s="68" t="s">
        <v>168</v>
      </c>
      <c r="B920" s="30">
        <v>612</v>
      </c>
      <c r="C920" s="22" t="s">
        <v>598</v>
      </c>
      <c r="D920" s="22" t="s">
        <v>592</v>
      </c>
      <c r="E920" s="22" t="s">
        <v>610</v>
      </c>
      <c r="F920" s="22" t="s">
        <v>169</v>
      </c>
      <c r="G920" s="31">
        <f>G921</f>
        <v>3926.2</v>
      </c>
      <c r="H920" s="31">
        <f>H921</f>
        <v>3926.24</v>
      </c>
      <c r="I920" s="31">
        <f t="shared" si="84"/>
        <v>100.00101879680096</v>
      </c>
    </row>
    <row r="921" spans="1:9" x14ac:dyDescent="0.2">
      <c r="A921" s="68" t="s">
        <v>594</v>
      </c>
      <c r="B921" s="30">
        <v>612</v>
      </c>
      <c r="C921" s="22" t="s">
        <v>598</v>
      </c>
      <c r="D921" s="22" t="s">
        <v>592</v>
      </c>
      <c r="E921" s="22" t="s">
        <v>610</v>
      </c>
      <c r="F921" s="22" t="s">
        <v>595</v>
      </c>
      <c r="G921" s="31">
        <f>2765+835+150+176.2</f>
        <v>3926.2</v>
      </c>
      <c r="H921" s="31">
        <v>3926.24</v>
      </c>
      <c r="I921" s="31">
        <f t="shared" si="84"/>
        <v>100.00101879680096</v>
      </c>
    </row>
    <row r="922" spans="1:9" x14ac:dyDescent="0.2">
      <c r="A922" s="68" t="s">
        <v>378</v>
      </c>
      <c r="B922" s="30">
        <v>612</v>
      </c>
      <c r="C922" s="22" t="s">
        <v>598</v>
      </c>
      <c r="D922" s="22" t="s">
        <v>592</v>
      </c>
      <c r="E922" s="22" t="s">
        <v>610</v>
      </c>
      <c r="F922" s="22" t="s">
        <v>175</v>
      </c>
      <c r="G922" s="31">
        <f>G923</f>
        <v>3.8000000000000114</v>
      </c>
      <c r="H922" s="31">
        <f>H923</f>
        <v>3.8</v>
      </c>
      <c r="I922" s="31">
        <f t="shared" si="84"/>
        <v>99.999999999999702</v>
      </c>
    </row>
    <row r="923" spans="1:9" ht="15" customHeight="1" x14ac:dyDescent="0.2">
      <c r="A923" s="68" t="s">
        <v>176</v>
      </c>
      <c r="B923" s="30">
        <v>612</v>
      </c>
      <c r="C923" s="22" t="s">
        <v>598</v>
      </c>
      <c r="D923" s="22" t="s">
        <v>592</v>
      </c>
      <c r="E923" s="22" t="s">
        <v>610</v>
      </c>
      <c r="F923" s="22" t="s">
        <v>177</v>
      </c>
      <c r="G923" s="31">
        <f>180-176.2</f>
        <v>3.8000000000000114</v>
      </c>
      <c r="H923" s="31">
        <v>3.8</v>
      </c>
      <c r="I923" s="31">
        <f t="shared" si="84"/>
        <v>99.999999999999702</v>
      </c>
    </row>
    <row r="924" spans="1:9" x14ac:dyDescent="0.2">
      <c r="A924" s="68" t="s">
        <v>178</v>
      </c>
      <c r="B924" s="30">
        <v>612</v>
      </c>
      <c r="C924" s="22" t="s">
        <v>598</v>
      </c>
      <c r="D924" s="22" t="s">
        <v>592</v>
      </c>
      <c r="E924" s="22" t="s">
        <v>610</v>
      </c>
      <c r="F924" s="22" t="s">
        <v>179</v>
      </c>
      <c r="G924" s="87">
        <f>G925</f>
        <v>5</v>
      </c>
      <c r="H924" s="134">
        <f>H925</f>
        <v>0</v>
      </c>
      <c r="I924" s="133">
        <f t="shared" si="84"/>
        <v>0</v>
      </c>
    </row>
    <row r="925" spans="1:9" x14ac:dyDescent="0.2">
      <c r="A925" s="68" t="s">
        <v>233</v>
      </c>
      <c r="B925" s="30">
        <v>612</v>
      </c>
      <c r="C925" s="22" t="s">
        <v>598</v>
      </c>
      <c r="D925" s="22" t="s">
        <v>592</v>
      </c>
      <c r="E925" s="22" t="s">
        <v>610</v>
      </c>
      <c r="F925" s="22" t="s">
        <v>180</v>
      </c>
      <c r="G925" s="87">
        <v>5</v>
      </c>
      <c r="H925" s="134">
        <v>0</v>
      </c>
      <c r="I925" s="133">
        <f t="shared" si="84"/>
        <v>0</v>
      </c>
    </row>
    <row r="926" spans="1:9" ht="28.5" customHeight="1" x14ac:dyDescent="0.2">
      <c r="A926" s="101" t="s">
        <v>365</v>
      </c>
      <c r="B926" s="17" t="s">
        <v>216</v>
      </c>
      <c r="C926" s="17" t="s">
        <v>598</v>
      </c>
      <c r="D926" s="17" t="s">
        <v>592</v>
      </c>
      <c r="E926" s="17" t="s">
        <v>611</v>
      </c>
      <c r="F926" s="17"/>
      <c r="G926" s="35">
        <f>G927+G929</f>
        <v>1635</v>
      </c>
      <c r="H926" s="35">
        <f>H927+H929</f>
        <v>1140.8420000000001</v>
      </c>
      <c r="I926" s="35">
        <f t="shared" si="84"/>
        <v>69.776269113149851</v>
      </c>
    </row>
    <row r="927" spans="1:9" ht="36" x14ac:dyDescent="0.2">
      <c r="A927" s="68" t="s">
        <v>168</v>
      </c>
      <c r="B927" s="30">
        <v>612</v>
      </c>
      <c r="C927" s="22" t="s">
        <v>598</v>
      </c>
      <c r="D927" s="22" t="s">
        <v>592</v>
      </c>
      <c r="E927" s="22" t="s">
        <v>611</v>
      </c>
      <c r="F927" s="22" t="s">
        <v>169</v>
      </c>
      <c r="G927" s="31">
        <f>G928</f>
        <v>405</v>
      </c>
      <c r="H927" s="31">
        <f>H928</f>
        <v>402.4</v>
      </c>
      <c r="I927" s="31">
        <f t="shared" si="84"/>
        <v>99.358024691358011</v>
      </c>
    </row>
    <row r="928" spans="1:9" x14ac:dyDescent="0.2">
      <c r="A928" s="68" t="s">
        <v>594</v>
      </c>
      <c r="B928" s="30">
        <v>612</v>
      </c>
      <c r="C928" s="22" t="s">
        <v>598</v>
      </c>
      <c r="D928" s="22" t="s">
        <v>592</v>
      </c>
      <c r="E928" s="22" t="s">
        <v>611</v>
      </c>
      <c r="F928" s="22" t="s">
        <v>595</v>
      </c>
      <c r="G928" s="31">
        <f>250+75+80</f>
        <v>405</v>
      </c>
      <c r="H928" s="31">
        <v>402.4</v>
      </c>
      <c r="I928" s="31">
        <f t="shared" si="84"/>
        <v>99.358024691358011</v>
      </c>
    </row>
    <row r="929" spans="1:9" x14ac:dyDescent="0.2">
      <c r="A929" s="68" t="s">
        <v>378</v>
      </c>
      <c r="B929" s="30">
        <v>612</v>
      </c>
      <c r="C929" s="22" t="s">
        <v>598</v>
      </c>
      <c r="D929" s="22" t="s">
        <v>592</v>
      </c>
      <c r="E929" s="22" t="s">
        <v>611</v>
      </c>
      <c r="F929" s="22" t="s">
        <v>175</v>
      </c>
      <c r="G929" s="31">
        <f>G930</f>
        <v>1230</v>
      </c>
      <c r="H929" s="31">
        <f>H930</f>
        <v>738.44200000000001</v>
      </c>
      <c r="I929" s="31">
        <f t="shared" si="84"/>
        <v>60.035934959349589</v>
      </c>
    </row>
    <row r="930" spans="1:9" ht="15" customHeight="1" x14ac:dyDescent="0.2">
      <c r="A930" s="68" t="s">
        <v>176</v>
      </c>
      <c r="B930" s="30">
        <v>612</v>
      </c>
      <c r="C930" s="22" t="s">
        <v>598</v>
      </c>
      <c r="D930" s="22" t="s">
        <v>592</v>
      </c>
      <c r="E930" s="22" t="s">
        <v>611</v>
      </c>
      <c r="F930" s="22" t="s">
        <v>177</v>
      </c>
      <c r="G930" s="31">
        <f>1535-150-75-80</f>
        <v>1230</v>
      </c>
      <c r="H930" s="31">
        <v>738.44200000000001</v>
      </c>
      <c r="I930" s="31">
        <f t="shared" si="84"/>
        <v>60.035934959349589</v>
      </c>
    </row>
    <row r="931" spans="1:9" ht="37.5" customHeight="1" x14ac:dyDescent="0.2">
      <c r="A931" s="88" t="s">
        <v>576</v>
      </c>
      <c r="B931" s="25" t="s">
        <v>216</v>
      </c>
      <c r="C931" s="25" t="s">
        <v>598</v>
      </c>
      <c r="D931" s="25" t="s">
        <v>592</v>
      </c>
      <c r="E931" s="25" t="s">
        <v>612</v>
      </c>
      <c r="F931" s="25"/>
      <c r="G931" s="85">
        <f>G932+G934+G936</f>
        <v>550</v>
      </c>
      <c r="H931" s="85">
        <f>H932+H934+H936</f>
        <v>300.89499999999998</v>
      </c>
      <c r="I931" s="85">
        <f t="shared" si="84"/>
        <v>54.708181818181814</v>
      </c>
    </row>
    <row r="932" spans="1:9" ht="36" x14ac:dyDescent="0.2">
      <c r="A932" s="68" t="s">
        <v>168</v>
      </c>
      <c r="B932" s="30">
        <v>612</v>
      </c>
      <c r="C932" s="22" t="s">
        <v>598</v>
      </c>
      <c r="D932" s="22" t="s">
        <v>592</v>
      </c>
      <c r="E932" s="22" t="s">
        <v>612</v>
      </c>
      <c r="F932" s="22" t="s">
        <v>169</v>
      </c>
      <c r="G932" s="31">
        <f>G933</f>
        <v>204.8</v>
      </c>
      <c r="H932" s="31">
        <f>H933</f>
        <v>48.07</v>
      </c>
      <c r="I932" s="31">
        <f t="shared" si="84"/>
        <v>23.4716796875</v>
      </c>
    </row>
    <row r="933" spans="1:9" x14ac:dyDescent="0.2">
      <c r="A933" s="68" t="s">
        <v>594</v>
      </c>
      <c r="B933" s="30">
        <v>612</v>
      </c>
      <c r="C933" s="22" t="s">
        <v>598</v>
      </c>
      <c r="D933" s="22" t="s">
        <v>592</v>
      </c>
      <c r="E933" s="22" t="s">
        <v>612</v>
      </c>
      <c r="F933" s="22" t="s">
        <v>595</v>
      </c>
      <c r="G933" s="31">
        <f>250-45.2</f>
        <v>204.8</v>
      </c>
      <c r="H933" s="31">
        <v>48.07</v>
      </c>
      <c r="I933" s="31">
        <f t="shared" si="84"/>
        <v>23.4716796875</v>
      </c>
    </row>
    <row r="934" spans="1:9" x14ac:dyDescent="0.2">
      <c r="A934" s="68" t="s">
        <v>378</v>
      </c>
      <c r="B934" s="30">
        <v>612</v>
      </c>
      <c r="C934" s="22" t="s">
        <v>598</v>
      </c>
      <c r="D934" s="22" t="s">
        <v>592</v>
      </c>
      <c r="E934" s="22" t="s">
        <v>612</v>
      </c>
      <c r="F934" s="22" t="s">
        <v>175</v>
      </c>
      <c r="G934" s="31">
        <f>G935</f>
        <v>204.88</v>
      </c>
      <c r="H934" s="31">
        <f>H935</f>
        <v>112.505</v>
      </c>
      <c r="I934" s="31">
        <f t="shared" si="84"/>
        <v>54.912631784459201</v>
      </c>
    </row>
    <row r="935" spans="1:9" ht="15" customHeight="1" x14ac:dyDescent="0.2">
      <c r="A935" s="68" t="s">
        <v>176</v>
      </c>
      <c r="B935" s="30">
        <v>612</v>
      </c>
      <c r="C935" s="22" t="s">
        <v>598</v>
      </c>
      <c r="D935" s="22" t="s">
        <v>592</v>
      </c>
      <c r="E935" s="22" t="s">
        <v>612</v>
      </c>
      <c r="F935" s="22" t="s">
        <v>177</v>
      </c>
      <c r="G935" s="31">
        <f>300-95.12</f>
        <v>204.88</v>
      </c>
      <c r="H935" s="31">
        <v>112.505</v>
      </c>
      <c r="I935" s="31">
        <f t="shared" si="84"/>
        <v>54.912631784459201</v>
      </c>
    </row>
    <row r="936" spans="1:9" x14ac:dyDescent="0.2">
      <c r="A936" s="68" t="s">
        <v>186</v>
      </c>
      <c r="B936" s="30">
        <v>612</v>
      </c>
      <c r="C936" s="22" t="s">
        <v>598</v>
      </c>
      <c r="D936" s="22" t="s">
        <v>592</v>
      </c>
      <c r="E936" s="22" t="s">
        <v>612</v>
      </c>
      <c r="F936" s="22" t="s">
        <v>185</v>
      </c>
      <c r="G936" s="31">
        <f>G937</f>
        <v>140.32</v>
      </c>
      <c r="H936" s="31">
        <f>H937</f>
        <v>140.32</v>
      </c>
      <c r="I936" s="31">
        <f t="shared" si="84"/>
        <v>100</v>
      </c>
    </row>
    <row r="937" spans="1:9" ht="12.75" customHeight="1" x14ac:dyDescent="0.2">
      <c r="A937" s="68" t="s">
        <v>399</v>
      </c>
      <c r="B937" s="30">
        <v>612</v>
      </c>
      <c r="C937" s="22" t="s">
        <v>598</v>
      </c>
      <c r="D937" s="22" t="s">
        <v>592</v>
      </c>
      <c r="E937" s="22" t="s">
        <v>612</v>
      </c>
      <c r="F937" s="22" t="s">
        <v>400</v>
      </c>
      <c r="G937" s="31">
        <f>95.12+45.2</f>
        <v>140.32</v>
      </c>
      <c r="H937" s="31">
        <v>140.32</v>
      </c>
      <c r="I937" s="31">
        <f t="shared" si="84"/>
        <v>100</v>
      </c>
    </row>
    <row r="938" spans="1:9" ht="24" x14ac:dyDescent="0.2">
      <c r="A938" s="61" t="s">
        <v>566</v>
      </c>
      <c r="B938" s="33">
        <v>612</v>
      </c>
      <c r="C938" s="16" t="s">
        <v>598</v>
      </c>
      <c r="D938" s="16" t="s">
        <v>592</v>
      </c>
      <c r="E938" s="16" t="s">
        <v>250</v>
      </c>
      <c r="F938" s="16"/>
      <c r="G938" s="32">
        <f>G939</f>
        <v>9226</v>
      </c>
      <c r="H938" s="32">
        <f>H939</f>
        <v>9112.8790000000008</v>
      </c>
      <c r="I938" s="32">
        <f t="shared" si="84"/>
        <v>98.773889009321493</v>
      </c>
    </row>
    <row r="939" spans="1:9" ht="25.5" x14ac:dyDescent="0.2">
      <c r="A939" s="56" t="s">
        <v>256</v>
      </c>
      <c r="B939" s="33">
        <v>612</v>
      </c>
      <c r="C939" s="16" t="s">
        <v>598</v>
      </c>
      <c r="D939" s="16" t="s">
        <v>592</v>
      </c>
      <c r="E939" s="16" t="s">
        <v>250</v>
      </c>
      <c r="F939" s="16"/>
      <c r="G939" s="32">
        <f>G940</f>
        <v>9226</v>
      </c>
      <c r="H939" s="32">
        <f>H940</f>
        <v>9112.8790000000008</v>
      </c>
      <c r="I939" s="32">
        <f t="shared" si="84"/>
        <v>98.773889009321493</v>
      </c>
    </row>
    <row r="940" spans="1:9" ht="24" x14ac:dyDescent="0.2">
      <c r="A940" s="67" t="s">
        <v>524</v>
      </c>
      <c r="B940" s="17" t="s">
        <v>216</v>
      </c>
      <c r="C940" s="17" t="s">
        <v>598</v>
      </c>
      <c r="D940" s="17" t="s">
        <v>592</v>
      </c>
      <c r="E940" s="17" t="s">
        <v>250</v>
      </c>
      <c r="F940" s="17"/>
      <c r="G940" s="35">
        <f>G941+G944</f>
        <v>9226</v>
      </c>
      <c r="H940" s="35">
        <f>H941+H944</f>
        <v>9112.8790000000008</v>
      </c>
      <c r="I940" s="35">
        <f t="shared" si="84"/>
        <v>98.773889009321493</v>
      </c>
    </row>
    <row r="941" spans="1:9" x14ac:dyDescent="0.2">
      <c r="A941" s="66" t="s">
        <v>505</v>
      </c>
      <c r="B941" s="16" t="s">
        <v>216</v>
      </c>
      <c r="C941" s="16" t="s">
        <v>598</v>
      </c>
      <c r="D941" s="16" t="s">
        <v>592</v>
      </c>
      <c r="E941" s="16" t="s">
        <v>369</v>
      </c>
      <c r="F941" s="16"/>
      <c r="G941" s="32">
        <f>G942</f>
        <v>8728</v>
      </c>
      <c r="H941" s="32">
        <f>H942</f>
        <v>8614.8790000000008</v>
      </c>
      <c r="I941" s="32">
        <f t="shared" si="84"/>
        <v>98.703929880843276</v>
      </c>
    </row>
    <row r="942" spans="1:9" ht="36" x14ac:dyDescent="0.2">
      <c r="A942" s="68" t="s">
        <v>168</v>
      </c>
      <c r="B942" s="22" t="s">
        <v>216</v>
      </c>
      <c r="C942" s="22" t="s">
        <v>598</v>
      </c>
      <c r="D942" s="22" t="s">
        <v>592</v>
      </c>
      <c r="E942" s="22" t="s">
        <v>369</v>
      </c>
      <c r="F942" s="22" t="s">
        <v>169</v>
      </c>
      <c r="G942" s="31">
        <f>G943</f>
        <v>8728</v>
      </c>
      <c r="H942" s="31">
        <f>H943</f>
        <v>8614.8790000000008</v>
      </c>
      <c r="I942" s="31">
        <f t="shared" si="84"/>
        <v>98.703929880843276</v>
      </c>
    </row>
    <row r="943" spans="1:9" x14ac:dyDescent="0.2">
      <c r="A943" s="68" t="s">
        <v>170</v>
      </c>
      <c r="B943" s="22" t="s">
        <v>216</v>
      </c>
      <c r="C943" s="22" t="s">
        <v>598</v>
      </c>
      <c r="D943" s="22" t="s">
        <v>592</v>
      </c>
      <c r="E943" s="22" t="s">
        <v>369</v>
      </c>
      <c r="F943" s="22" t="s">
        <v>173</v>
      </c>
      <c r="G943" s="31">
        <f>7000+2114-386</f>
        <v>8728</v>
      </c>
      <c r="H943" s="31">
        <v>8614.8790000000008</v>
      </c>
      <c r="I943" s="31">
        <f t="shared" si="84"/>
        <v>98.703929880843276</v>
      </c>
    </row>
    <row r="944" spans="1:9" x14ac:dyDescent="0.2">
      <c r="A944" s="64" t="s">
        <v>174</v>
      </c>
      <c r="B944" s="16" t="s">
        <v>216</v>
      </c>
      <c r="C944" s="16" t="s">
        <v>598</v>
      </c>
      <c r="D944" s="16" t="s">
        <v>592</v>
      </c>
      <c r="E944" s="16" t="s">
        <v>370</v>
      </c>
      <c r="F944" s="16"/>
      <c r="G944" s="32">
        <f>G945+G947</f>
        <v>498</v>
      </c>
      <c r="H944" s="32">
        <f>H945+H947</f>
        <v>498</v>
      </c>
      <c r="I944" s="32">
        <f t="shared" si="84"/>
        <v>100</v>
      </c>
    </row>
    <row r="945" spans="1:9" x14ac:dyDescent="0.2">
      <c r="A945" s="68" t="s">
        <v>378</v>
      </c>
      <c r="B945" s="22" t="s">
        <v>216</v>
      </c>
      <c r="C945" s="22" t="s">
        <v>598</v>
      </c>
      <c r="D945" s="22" t="s">
        <v>592</v>
      </c>
      <c r="E945" s="22" t="s">
        <v>370</v>
      </c>
      <c r="F945" s="22" t="s">
        <v>175</v>
      </c>
      <c r="G945" s="31">
        <f>G946</f>
        <v>497</v>
      </c>
      <c r="H945" s="31">
        <f>H946</f>
        <v>497</v>
      </c>
      <c r="I945" s="31">
        <f t="shared" si="84"/>
        <v>100</v>
      </c>
    </row>
    <row r="946" spans="1:9" ht="15" customHeight="1" x14ac:dyDescent="0.2">
      <c r="A946" s="68" t="s">
        <v>176</v>
      </c>
      <c r="B946" s="22" t="s">
        <v>216</v>
      </c>
      <c r="C946" s="22" t="s">
        <v>598</v>
      </c>
      <c r="D946" s="22" t="s">
        <v>592</v>
      </c>
      <c r="E946" s="22" t="s">
        <v>370</v>
      </c>
      <c r="F946" s="22" t="s">
        <v>177</v>
      </c>
      <c r="G946" s="31">
        <v>497</v>
      </c>
      <c r="H946" s="31">
        <v>497</v>
      </c>
      <c r="I946" s="31">
        <f t="shared" si="84"/>
        <v>100</v>
      </c>
    </row>
    <row r="947" spans="1:9" x14ac:dyDescent="0.2">
      <c r="A947" s="68" t="s">
        <v>178</v>
      </c>
      <c r="B947" s="22" t="s">
        <v>216</v>
      </c>
      <c r="C947" s="22" t="s">
        <v>598</v>
      </c>
      <c r="D947" s="22" t="s">
        <v>592</v>
      </c>
      <c r="E947" s="22" t="s">
        <v>370</v>
      </c>
      <c r="F947" s="22" t="s">
        <v>179</v>
      </c>
      <c r="G947" s="31">
        <f>G948</f>
        <v>1</v>
      </c>
      <c r="H947" s="31">
        <f>H948</f>
        <v>1</v>
      </c>
      <c r="I947" s="31">
        <f t="shared" ref="I947:I978" si="85">H947/G947*100</f>
        <v>100</v>
      </c>
    </row>
    <row r="948" spans="1:9" x14ac:dyDescent="0.2">
      <c r="A948" s="68" t="s">
        <v>87</v>
      </c>
      <c r="B948" s="22" t="s">
        <v>216</v>
      </c>
      <c r="C948" s="22" t="s">
        <v>598</v>
      </c>
      <c r="D948" s="22" t="s">
        <v>592</v>
      </c>
      <c r="E948" s="22" t="s">
        <v>370</v>
      </c>
      <c r="F948" s="22" t="s">
        <v>180</v>
      </c>
      <c r="G948" s="31">
        <f>15-14</f>
        <v>1</v>
      </c>
      <c r="H948" s="31">
        <v>1</v>
      </c>
      <c r="I948" s="31">
        <f t="shared" si="85"/>
        <v>100</v>
      </c>
    </row>
    <row r="949" spans="1:9" x14ac:dyDescent="0.2">
      <c r="A949" s="66" t="s">
        <v>163</v>
      </c>
      <c r="B949" s="16" t="s">
        <v>216</v>
      </c>
      <c r="C949" s="16" t="s">
        <v>598</v>
      </c>
      <c r="D949" s="16" t="s">
        <v>592</v>
      </c>
      <c r="E949" s="16" t="s">
        <v>293</v>
      </c>
      <c r="F949" s="16"/>
      <c r="G949" s="32">
        <f t="shared" ref="G949:H952" si="86">G950</f>
        <v>158.91399999999999</v>
      </c>
      <c r="H949" s="32">
        <f t="shared" si="86"/>
        <v>158.91399999999999</v>
      </c>
      <c r="I949" s="32">
        <f t="shared" si="85"/>
        <v>100</v>
      </c>
    </row>
    <row r="950" spans="1:9" x14ac:dyDescent="0.2">
      <c r="A950" s="66" t="s">
        <v>381</v>
      </c>
      <c r="B950" s="16" t="s">
        <v>216</v>
      </c>
      <c r="C950" s="16" t="s">
        <v>598</v>
      </c>
      <c r="D950" s="16" t="s">
        <v>592</v>
      </c>
      <c r="E950" s="16" t="s">
        <v>294</v>
      </c>
      <c r="F950" s="16"/>
      <c r="G950" s="32">
        <f t="shared" si="86"/>
        <v>158.91399999999999</v>
      </c>
      <c r="H950" s="32">
        <f t="shared" si="86"/>
        <v>158.91399999999999</v>
      </c>
      <c r="I950" s="32">
        <f t="shared" si="85"/>
        <v>100</v>
      </c>
    </row>
    <row r="951" spans="1:9" ht="24" x14ac:dyDescent="0.2">
      <c r="A951" s="64" t="s">
        <v>632</v>
      </c>
      <c r="B951" s="16" t="s">
        <v>216</v>
      </c>
      <c r="C951" s="16" t="s">
        <v>598</v>
      </c>
      <c r="D951" s="16" t="s">
        <v>592</v>
      </c>
      <c r="E951" s="16" t="s">
        <v>633</v>
      </c>
      <c r="F951" s="16"/>
      <c r="G951" s="32">
        <f t="shared" si="86"/>
        <v>158.91399999999999</v>
      </c>
      <c r="H951" s="32">
        <f t="shared" si="86"/>
        <v>158.91399999999999</v>
      </c>
      <c r="I951" s="32">
        <f t="shared" si="85"/>
        <v>100</v>
      </c>
    </row>
    <row r="952" spans="1:9" ht="36" x14ac:dyDescent="0.2">
      <c r="A952" s="68" t="s">
        <v>168</v>
      </c>
      <c r="B952" s="22" t="s">
        <v>216</v>
      </c>
      <c r="C952" s="22" t="s">
        <v>598</v>
      </c>
      <c r="D952" s="22" t="s">
        <v>592</v>
      </c>
      <c r="E952" s="22" t="s">
        <v>633</v>
      </c>
      <c r="F952" s="22" t="s">
        <v>169</v>
      </c>
      <c r="G952" s="31">
        <f t="shared" si="86"/>
        <v>158.91399999999999</v>
      </c>
      <c r="H952" s="31">
        <f t="shared" si="86"/>
        <v>158.91399999999999</v>
      </c>
      <c r="I952" s="31">
        <f t="shared" si="85"/>
        <v>100</v>
      </c>
    </row>
    <row r="953" spans="1:9" x14ac:dyDescent="0.2">
      <c r="A953" s="68" t="s">
        <v>170</v>
      </c>
      <c r="B953" s="22" t="s">
        <v>216</v>
      </c>
      <c r="C953" s="22" t="s">
        <v>598</v>
      </c>
      <c r="D953" s="22" t="s">
        <v>592</v>
      </c>
      <c r="E953" s="22" t="s">
        <v>633</v>
      </c>
      <c r="F953" s="22" t="s">
        <v>173</v>
      </c>
      <c r="G953" s="31">
        <v>158.91399999999999</v>
      </c>
      <c r="H953" s="31">
        <v>158.91399999999999</v>
      </c>
      <c r="I953" s="31">
        <f t="shared" si="85"/>
        <v>100</v>
      </c>
    </row>
    <row r="954" spans="1:9" x14ac:dyDescent="0.2">
      <c r="A954" s="64" t="s">
        <v>520</v>
      </c>
      <c r="B954" s="16" t="s">
        <v>216</v>
      </c>
      <c r="C954" s="16" t="s">
        <v>88</v>
      </c>
      <c r="D954" s="16" t="s">
        <v>166</v>
      </c>
      <c r="E954" s="16"/>
      <c r="F954" s="16"/>
      <c r="G954" s="32">
        <f>G955+G965</f>
        <v>27194.103399999996</v>
      </c>
      <c r="H954" s="32">
        <f>H955+H965</f>
        <v>27031.741000000002</v>
      </c>
      <c r="I954" s="32">
        <f t="shared" si="85"/>
        <v>99.402949979222356</v>
      </c>
    </row>
    <row r="955" spans="1:9" x14ac:dyDescent="0.2">
      <c r="A955" s="64" t="s">
        <v>507</v>
      </c>
      <c r="B955" s="16" t="s">
        <v>216</v>
      </c>
      <c r="C955" s="16" t="s">
        <v>88</v>
      </c>
      <c r="D955" s="16" t="s">
        <v>591</v>
      </c>
      <c r="E955" s="16"/>
      <c r="F955" s="16"/>
      <c r="G955" s="32">
        <f>G956</f>
        <v>10188.079999999998</v>
      </c>
      <c r="H955" s="32">
        <f>H956</f>
        <v>10188.074999999999</v>
      </c>
      <c r="I955" s="32">
        <f t="shared" si="85"/>
        <v>99.999950923039478</v>
      </c>
    </row>
    <row r="956" spans="1:9" ht="27" x14ac:dyDescent="0.2">
      <c r="A956" s="70" t="s">
        <v>602</v>
      </c>
      <c r="B956" s="43" t="s">
        <v>216</v>
      </c>
      <c r="C956" s="43" t="s">
        <v>88</v>
      </c>
      <c r="D956" s="43" t="s">
        <v>591</v>
      </c>
      <c r="E956" s="43" t="s">
        <v>240</v>
      </c>
      <c r="F956" s="43"/>
      <c r="G956" s="47">
        <f>G957</f>
        <v>10188.079999999998</v>
      </c>
      <c r="H956" s="47">
        <f>H957</f>
        <v>10188.074999999999</v>
      </c>
      <c r="I956" s="47">
        <f t="shared" si="85"/>
        <v>99.999950923039478</v>
      </c>
    </row>
    <row r="957" spans="1:9" x14ac:dyDescent="0.2">
      <c r="A957" s="64" t="s">
        <v>366</v>
      </c>
      <c r="B957" s="16" t="s">
        <v>216</v>
      </c>
      <c r="C957" s="16" t="s">
        <v>88</v>
      </c>
      <c r="D957" s="16" t="s">
        <v>591</v>
      </c>
      <c r="E957" s="16" t="s">
        <v>249</v>
      </c>
      <c r="F957" s="16"/>
      <c r="G957" s="32">
        <f>G958+G962</f>
        <v>10188.079999999998</v>
      </c>
      <c r="H957" s="32">
        <f>H958+H962</f>
        <v>10188.074999999999</v>
      </c>
      <c r="I957" s="32">
        <f t="shared" si="85"/>
        <v>99.999950923039478</v>
      </c>
    </row>
    <row r="958" spans="1:9" ht="36" x14ac:dyDescent="0.2">
      <c r="A958" s="67" t="s">
        <v>227</v>
      </c>
      <c r="B958" s="17" t="s">
        <v>216</v>
      </c>
      <c r="C958" s="17" t="s">
        <v>88</v>
      </c>
      <c r="D958" s="17" t="s">
        <v>591</v>
      </c>
      <c r="E958" s="17" t="s">
        <v>368</v>
      </c>
      <c r="F958" s="17"/>
      <c r="G958" s="35">
        <f>G959</f>
        <v>9588.0799999999981</v>
      </c>
      <c r="H958" s="35">
        <f>H959</f>
        <v>9588.0749999999989</v>
      </c>
      <c r="I958" s="35">
        <f t="shared" si="85"/>
        <v>99.999947851916133</v>
      </c>
    </row>
    <row r="959" spans="1:9" ht="24" x14ac:dyDescent="0.2">
      <c r="A959" s="68" t="s">
        <v>191</v>
      </c>
      <c r="B959" s="22" t="s">
        <v>216</v>
      </c>
      <c r="C959" s="22" t="s">
        <v>88</v>
      </c>
      <c r="D959" s="22" t="s">
        <v>591</v>
      </c>
      <c r="E959" s="22" t="s">
        <v>368</v>
      </c>
      <c r="F959" s="22" t="s">
        <v>522</v>
      </c>
      <c r="G959" s="31">
        <f>G960+G961</f>
        <v>9588.0799999999981</v>
      </c>
      <c r="H959" s="31">
        <f>H960+H961</f>
        <v>9588.0749999999989</v>
      </c>
      <c r="I959" s="31">
        <f t="shared" si="85"/>
        <v>99.999947851916133</v>
      </c>
    </row>
    <row r="960" spans="1:9" x14ac:dyDescent="0.2">
      <c r="A960" s="68" t="s">
        <v>192</v>
      </c>
      <c r="B960" s="22" t="s">
        <v>216</v>
      </c>
      <c r="C960" s="22" t="s">
        <v>88</v>
      </c>
      <c r="D960" s="22" t="s">
        <v>591</v>
      </c>
      <c r="E960" s="22" t="s">
        <v>368</v>
      </c>
      <c r="F960" s="22" t="s">
        <v>536</v>
      </c>
      <c r="G960" s="31">
        <f>16260-7056.22</f>
        <v>9203.7799999999988</v>
      </c>
      <c r="H960" s="31">
        <v>9203.7749999999996</v>
      </c>
      <c r="I960" s="31">
        <f t="shared" si="85"/>
        <v>99.999945674494612</v>
      </c>
    </row>
    <row r="961" spans="1:9" x14ac:dyDescent="0.2">
      <c r="A961" s="68" t="s">
        <v>89</v>
      </c>
      <c r="B961" s="22" t="s">
        <v>216</v>
      </c>
      <c r="C961" s="22" t="s">
        <v>88</v>
      </c>
      <c r="D961" s="22" t="s">
        <v>591</v>
      </c>
      <c r="E961" s="22" t="s">
        <v>368</v>
      </c>
      <c r="F961" s="22" t="s">
        <v>90</v>
      </c>
      <c r="G961" s="31">
        <f>700-315.7</f>
        <v>384.3</v>
      </c>
      <c r="H961" s="31">
        <v>384.3</v>
      </c>
      <c r="I961" s="31">
        <f t="shared" si="85"/>
        <v>100</v>
      </c>
    </row>
    <row r="962" spans="1:9" ht="24" x14ac:dyDescent="0.2">
      <c r="A962" s="88" t="s">
        <v>257</v>
      </c>
      <c r="B962" s="25" t="s">
        <v>216</v>
      </c>
      <c r="C962" s="25" t="s">
        <v>88</v>
      </c>
      <c r="D962" s="25" t="s">
        <v>591</v>
      </c>
      <c r="E962" s="25" t="s">
        <v>613</v>
      </c>
      <c r="F962" s="25"/>
      <c r="G962" s="85">
        <f>G963</f>
        <v>600</v>
      </c>
      <c r="H962" s="85">
        <f>H963</f>
        <v>600</v>
      </c>
      <c r="I962" s="85">
        <f t="shared" si="85"/>
        <v>100</v>
      </c>
    </row>
    <row r="963" spans="1:9" x14ac:dyDescent="0.2">
      <c r="A963" s="68" t="s">
        <v>186</v>
      </c>
      <c r="B963" s="30">
        <v>612</v>
      </c>
      <c r="C963" s="22" t="s">
        <v>88</v>
      </c>
      <c r="D963" s="22" t="s">
        <v>591</v>
      </c>
      <c r="E963" s="22" t="s">
        <v>613</v>
      </c>
      <c r="F963" s="22" t="s">
        <v>185</v>
      </c>
      <c r="G963" s="31">
        <f>G964</f>
        <v>600</v>
      </c>
      <c r="H963" s="31">
        <f>H964</f>
        <v>600</v>
      </c>
      <c r="I963" s="31">
        <f t="shared" si="85"/>
        <v>100</v>
      </c>
    </row>
    <row r="964" spans="1:9" ht="15" customHeight="1" x14ac:dyDescent="0.2">
      <c r="A964" s="68" t="s">
        <v>187</v>
      </c>
      <c r="B964" s="30">
        <v>612</v>
      </c>
      <c r="C964" s="22" t="s">
        <v>88</v>
      </c>
      <c r="D964" s="22" t="s">
        <v>591</v>
      </c>
      <c r="E964" s="22" t="s">
        <v>613</v>
      </c>
      <c r="F964" s="22" t="s">
        <v>188</v>
      </c>
      <c r="G964" s="31">
        <v>600</v>
      </c>
      <c r="H964" s="31">
        <v>600</v>
      </c>
      <c r="I964" s="31">
        <f t="shared" si="85"/>
        <v>100</v>
      </c>
    </row>
    <row r="965" spans="1:9" x14ac:dyDescent="0.2">
      <c r="A965" s="64" t="s">
        <v>508</v>
      </c>
      <c r="B965" s="16" t="s">
        <v>216</v>
      </c>
      <c r="C965" s="16" t="s">
        <v>88</v>
      </c>
      <c r="D965" s="16" t="s">
        <v>167</v>
      </c>
      <c r="E965" s="16"/>
      <c r="F965" s="16"/>
      <c r="G965" s="32">
        <f t="shared" ref="G965:H969" si="87">G966</f>
        <v>17006.023399999998</v>
      </c>
      <c r="H965" s="32">
        <f t="shared" si="87"/>
        <v>16843.666000000001</v>
      </c>
      <c r="I965" s="32">
        <f t="shared" si="85"/>
        <v>99.045294739509785</v>
      </c>
    </row>
    <row r="966" spans="1:9" ht="27" x14ac:dyDescent="0.2">
      <c r="A966" s="70" t="s">
        <v>602</v>
      </c>
      <c r="B966" s="43" t="s">
        <v>216</v>
      </c>
      <c r="C966" s="43" t="s">
        <v>88</v>
      </c>
      <c r="D966" s="43" t="s">
        <v>167</v>
      </c>
      <c r="E966" s="43" t="s">
        <v>240</v>
      </c>
      <c r="F966" s="17"/>
      <c r="G966" s="47">
        <f t="shared" si="87"/>
        <v>17006.023399999998</v>
      </c>
      <c r="H966" s="47">
        <f t="shared" si="87"/>
        <v>16843.666000000001</v>
      </c>
      <c r="I966" s="35">
        <f t="shared" si="85"/>
        <v>99.045294739509785</v>
      </c>
    </row>
    <row r="967" spans="1:9" x14ac:dyDescent="0.2">
      <c r="A967" s="64" t="s">
        <v>366</v>
      </c>
      <c r="B967" s="16" t="s">
        <v>216</v>
      </c>
      <c r="C967" s="16" t="s">
        <v>88</v>
      </c>
      <c r="D967" s="16" t="s">
        <v>167</v>
      </c>
      <c r="E967" s="16" t="s">
        <v>249</v>
      </c>
      <c r="F967" s="16"/>
      <c r="G967" s="32">
        <f t="shared" si="87"/>
        <v>17006.023399999998</v>
      </c>
      <c r="H967" s="32">
        <f t="shared" si="87"/>
        <v>16843.666000000001</v>
      </c>
      <c r="I967" s="32">
        <f t="shared" si="85"/>
        <v>99.045294739509785</v>
      </c>
    </row>
    <row r="968" spans="1:9" ht="48" x14ac:dyDescent="0.2">
      <c r="A968" s="53" t="s">
        <v>85</v>
      </c>
      <c r="B968" s="25" t="s">
        <v>216</v>
      </c>
      <c r="C968" s="25" t="s">
        <v>88</v>
      </c>
      <c r="D968" s="25" t="s">
        <v>167</v>
      </c>
      <c r="E968" s="25" t="s">
        <v>367</v>
      </c>
      <c r="F968" s="25"/>
      <c r="G968" s="85">
        <f t="shared" si="87"/>
        <v>17006.023399999998</v>
      </c>
      <c r="H968" s="85">
        <f t="shared" si="87"/>
        <v>16843.666000000001</v>
      </c>
      <c r="I968" s="85">
        <f t="shared" si="85"/>
        <v>99.045294739509785</v>
      </c>
    </row>
    <row r="969" spans="1:9" x14ac:dyDescent="0.2">
      <c r="A969" s="68" t="s">
        <v>186</v>
      </c>
      <c r="B969" s="22" t="s">
        <v>216</v>
      </c>
      <c r="C969" s="22" t="s">
        <v>88</v>
      </c>
      <c r="D969" s="22" t="s">
        <v>167</v>
      </c>
      <c r="E969" s="22" t="s">
        <v>367</v>
      </c>
      <c r="F969" s="22" t="s">
        <v>185</v>
      </c>
      <c r="G969" s="31">
        <f t="shared" si="87"/>
        <v>17006.023399999998</v>
      </c>
      <c r="H969" s="31">
        <f t="shared" si="87"/>
        <v>16843.666000000001</v>
      </c>
      <c r="I969" s="31">
        <f t="shared" si="85"/>
        <v>99.045294739509785</v>
      </c>
    </row>
    <row r="970" spans="1:9" x14ac:dyDescent="0.2">
      <c r="A970" s="68" t="s">
        <v>236</v>
      </c>
      <c r="B970" s="22" t="s">
        <v>216</v>
      </c>
      <c r="C970" s="22" t="s">
        <v>88</v>
      </c>
      <c r="D970" s="22" t="s">
        <v>167</v>
      </c>
      <c r="E970" s="22" t="s">
        <v>367</v>
      </c>
      <c r="F970" s="22" t="s">
        <v>91</v>
      </c>
      <c r="G970" s="31">
        <f>13500+3506.0234</f>
        <v>17006.023399999998</v>
      </c>
      <c r="H970" s="31">
        <v>16843.666000000001</v>
      </c>
      <c r="I970" s="31">
        <f t="shared" si="85"/>
        <v>99.045294739509785</v>
      </c>
    </row>
    <row r="971" spans="1:9" ht="15.75" x14ac:dyDescent="0.2">
      <c r="A971" s="63" t="s">
        <v>583</v>
      </c>
      <c r="B971" s="36" t="s">
        <v>584</v>
      </c>
      <c r="C971" s="36"/>
      <c r="D971" s="36"/>
      <c r="E971" s="36"/>
      <c r="F971" s="36"/>
      <c r="G971" s="86">
        <f>G972</f>
        <v>27087</v>
      </c>
      <c r="H971" s="86">
        <f>H972</f>
        <v>26387.547999999999</v>
      </c>
      <c r="I971" s="86">
        <f t="shared" si="85"/>
        <v>97.417757595894699</v>
      </c>
    </row>
    <row r="972" spans="1:9" x14ac:dyDescent="0.2">
      <c r="A972" s="64" t="s">
        <v>198</v>
      </c>
      <c r="B972" s="16" t="s">
        <v>584</v>
      </c>
      <c r="C972" s="16" t="s">
        <v>165</v>
      </c>
      <c r="D972" s="16" t="s">
        <v>166</v>
      </c>
      <c r="E972" s="16"/>
      <c r="F972" s="16"/>
      <c r="G972" s="32">
        <f>G973+G980+G991</f>
        <v>27087</v>
      </c>
      <c r="H972" s="32">
        <f>H973+H980+H991</f>
        <v>26387.547999999999</v>
      </c>
      <c r="I972" s="32">
        <f t="shared" si="85"/>
        <v>97.417757595894699</v>
      </c>
    </row>
    <row r="973" spans="1:9" ht="24" x14ac:dyDescent="0.2">
      <c r="A973" s="64" t="s">
        <v>585</v>
      </c>
      <c r="B973" s="16" t="s">
        <v>584</v>
      </c>
      <c r="C973" s="16" t="s">
        <v>165</v>
      </c>
      <c r="D973" s="16" t="s">
        <v>599</v>
      </c>
      <c r="E973" s="16"/>
      <c r="F973" s="16"/>
      <c r="G973" s="32">
        <f t="shared" ref="G973:H978" si="88">G974</f>
        <v>1732.4</v>
      </c>
      <c r="H973" s="32">
        <f t="shared" si="88"/>
        <v>1719.9760000000001</v>
      </c>
      <c r="I973" s="32">
        <f t="shared" si="85"/>
        <v>99.282844608635429</v>
      </c>
    </row>
    <row r="974" spans="1:9" x14ac:dyDescent="0.2">
      <c r="A974" s="67" t="s">
        <v>103</v>
      </c>
      <c r="B974" s="17" t="s">
        <v>584</v>
      </c>
      <c r="C974" s="17" t="s">
        <v>165</v>
      </c>
      <c r="D974" s="17" t="s">
        <v>599</v>
      </c>
      <c r="E974" s="17" t="s">
        <v>299</v>
      </c>
      <c r="F974" s="17"/>
      <c r="G974" s="35">
        <f t="shared" si="88"/>
        <v>1732.4</v>
      </c>
      <c r="H974" s="35">
        <f t="shared" si="88"/>
        <v>1719.9760000000001</v>
      </c>
      <c r="I974" s="35">
        <f t="shared" si="85"/>
        <v>99.282844608635429</v>
      </c>
    </row>
    <row r="975" spans="1:9" x14ac:dyDescent="0.2">
      <c r="A975" s="64" t="s">
        <v>193</v>
      </c>
      <c r="B975" s="16" t="s">
        <v>584</v>
      </c>
      <c r="C975" s="16" t="s">
        <v>165</v>
      </c>
      <c r="D975" s="16" t="s">
        <v>599</v>
      </c>
      <c r="E975" s="16" t="s">
        <v>300</v>
      </c>
      <c r="F975" s="16"/>
      <c r="G975" s="32">
        <f t="shared" si="88"/>
        <v>1732.4</v>
      </c>
      <c r="H975" s="32">
        <f t="shared" si="88"/>
        <v>1719.9760000000001</v>
      </c>
      <c r="I975" s="32">
        <f t="shared" si="85"/>
        <v>99.282844608635429</v>
      </c>
    </row>
    <row r="976" spans="1:9" x14ac:dyDescent="0.2">
      <c r="A976" s="69" t="s">
        <v>393</v>
      </c>
      <c r="B976" s="25" t="s">
        <v>584</v>
      </c>
      <c r="C976" s="25" t="s">
        <v>165</v>
      </c>
      <c r="D976" s="25" t="s">
        <v>599</v>
      </c>
      <c r="E976" s="25" t="s">
        <v>301</v>
      </c>
      <c r="F976" s="22"/>
      <c r="G976" s="85">
        <f t="shared" si="88"/>
        <v>1732.4</v>
      </c>
      <c r="H976" s="85">
        <f t="shared" si="88"/>
        <v>1719.9760000000001</v>
      </c>
      <c r="I976" s="85">
        <f t="shared" si="85"/>
        <v>99.282844608635429</v>
      </c>
    </row>
    <row r="977" spans="1:9" x14ac:dyDescent="0.2">
      <c r="A977" s="60" t="s">
        <v>100</v>
      </c>
      <c r="B977" s="72" t="s">
        <v>584</v>
      </c>
      <c r="C977" s="72" t="s">
        <v>165</v>
      </c>
      <c r="D977" s="72" t="s">
        <v>599</v>
      </c>
      <c r="E977" s="72" t="s">
        <v>302</v>
      </c>
      <c r="F977" s="73"/>
      <c r="G977" s="32">
        <f t="shared" si="88"/>
        <v>1732.4</v>
      </c>
      <c r="H977" s="32">
        <f t="shared" si="88"/>
        <v>1719.9760000000001</v>
      </c>
      <c r="I977" s="32">
        <f t="shared" si="85"/>
        <v>99.282844608635429</v>
      </c>
    </row>
    <row r="978" spans="1:9" ht="36" x14ac:dyDescent="0.2">
      <c r="A978" s="68" t="s">
        <v>168</v>
      </c>
      <c r="B978" s="22" t="s">
        <v>584</v>
      </c>
      <c r="C978" s="22" t="s">
        <v>165</v>
      </c>
      <c r="D978" s="22" t="s">
        <v>599</v>
      </c>
      <c r="E978" s="22" t="s">
        <v>303</v>
      </c>
      <c r="F978" s="22" t="s">
        <v>169</v>
      </c>
      <c r="G978" s="31">
        <f t="shared" si="88"/>
        <v>1732.4</v>
      </c>
      <c r="H978" s="31">
        <f t="shared" si="88"/>
        <v>1719.9760000000001</v>
      </c>
      <c r="I978" s="31">
        <f t="shared" si="85"/>
        <v>99.282844608635429</v>
      </c>
    </row>
    <row r="979" spans="1:9" x14ac:dyDescent="0.2">
      <c r="A979" s="68" t="s">
        <v>170</v>
      </c>
      <c r="B979" s="22" t="s">
        <v>584</v>
      </c>
      <c r="C979" s="22" t="s">
        <v>165</v>
      </c>
      <c r="D979" s="22" t="s">
        <v>599</v>
      </c>
      <c r="E979" s="22" t="s">
        <v>303</v>
      </c>
      <c r="F979" s="22" t="s">
        <v>173</v>
      </c>
      <c r="G979" s="31">
        <f>1946-213.6</f>
        <v>1732.4</v>
      </c>
      <c r="H979" s="31">
        <v>1719.9760000000001</v>
      </c>
      <c r="I979" s="31">
        <f t="shared" ref="I979:I1010" si="89">H979/G979*100</f>
        <v>99.282844608635429</v>
      </c>
    </row>
    <row r="980" spans="1:9" ht="24" x14ac:dyDescent="0.2">
      <c r="A980" s="64" t="s">
        <v>396</v>
      </c>
      <c r="B980" s="16" t="s">
        <v>584</v>
      </c>
      <c r="C980" s="16" t="s">
        <v>165</v>
      </c>
      <c r="D980" s="16" t="s">
        <v>591</v>
      </c>
      <c r="E980" s="16"/>
      <c r="F980" s="16"/>
      <c r="G980" s="32">
        <f>G981+G986</f>
        <v>23160.6</v>
      </c>
      <c r="H980" s="32">
        <f>H981+H986</f>
        <v>22533.322</v>
      </c>
      <c r="I980" s="32">
        <f t="shared" si="89"/>
        <v>97.291615933956805</v>
      </c>
    </row>
    <row r="981" spans="1:9" ht="24" x14ac:dyDescent="0.2">
      <c r="A981" s="67" t="s">
        <v>99</v>
      </c>
      <c r="B981" s="17" t="s">
        <v>584</v>
      </c>
      <c r="C981" s="17" t="s">
        <v>165</v>
      </c>
      <c r="D981" s="17" t="s">
        <v>591</v>
      </c>
      <c r="E981" s="55" t="s">
        <v>304</v>
      </c>
      <c r="F981" s="48"/>
      <c r="G981" s="35">
        <f t="shared" ref="G981:H984" si="90">G982</f>
        <v>19080.599999999999</v>
      </c>
      <c r="H981" s="35">
        <f t="shared" si="90"/>
        <v>18924.188999999998</v>
      </c>
      <c r="I981" s="35">
        <f t="shared" si="89"/>
        <v>99.180261626992859</v>
      </c>
    </row>
    <row r="982" spans="1:9" x14ac:dyDescent="0.2">
      <c r="A982" s="64" t="s">
        <v>193</v>
      </c>
      <c r="B982" s="16" t="s">
        <v>584</v>
      </c>
      <c r="C982" s="16" t="s">
        <v>165</v>
      </c>
      <c r="D982" s="16" t="s">
        <v>591</v>
      </c>
      <c r="E982" s="81" t="s">
        <v>218</v>
      </c>
      <c r="F982" s="28"/>
      <c r="G982" s="32">
        <f t="shared" si="90"/>
        <v>19080.599999999999</v>
      </c>
      <c r="H982" s="32">
        <f t="shared" si="90"/>
        <v>18924.188999999998</v>
      </c>
      <c r="I982" s="32">
        <f t="shared" si="89"/>
        <v>99.180261626992859</v>
      </c>
    </row>
    <row r="983" spans="1:9" x14ac:dyDescent="0.2">
      <c r="A983" s="60" t="s">
        <v>100</v>
      </c>
      <c r="B983" s="72" t="s">
        <v>584</v>
      </c>
      <c r="C983" s="72" t="s">
        <v>165</v>
      </c>
      <c r="D983" s="72" t="s">
        <v>591</v>
      </c>
      <c r="E983" s="72" t="s">
        <v>308</v>
      </c>
      <c r="F983" s="73"/>
      <c r="G983" s="32">
        <f t="shared" si="90"/>
        <v>19080.599999999999</v>
      </c>
      <c r="H983" s="32">
        <f t="shared" si="90"/>
        <v>18924.188999999998</v>
      </c>
      <c r="I983" s="32">
        <f t="shared" si="89"/>
        <v>99.180261626992859</v>
      </c>
    </row>
    <row r="984" spans="1:9" ht="36" x14ac:dyDescent="0.2">
      <c r="A984" s="68" t="s">
        <v>168</v>
      </c>
      <c r="B984" s="22" t="s">
        <v>584</v>
      </c>
      <c r="C984" s="22" t="s">
        <v>165</v>
      </c>
      <c r="D984" s="22" t="s">
        <v>591</v>
      </c>
      <c r="E984" s="22" t="s">
        <v>308</v>
      </c>
      <c r="F984" s="22" t="s">
        <v>169</v>
      </c>
      <c r="G984" s="31">
        <f t="shared" si="90"/>
        <v>19080.599999999999</v>
      </c>
      <c r="H984" s="31">
        <f t="shared" si="90"/>
        <v>18924.188999999998</v>
      </c>
      <c r="I984" s="31">
        <f t="shared" si="89"/>
        <v>99.180261626992859</v>
      </c>
    </row>
    <row r="985" spans="1:9" x14ac:dyDescent="0.2">
      <c r="A985" s="68" t="s">
        <v>170</v>
      </c>
      <c r="B985" s="22" t="s">
        <v>584</v>
      </c>
      <c r="C985" s="22" t="s">
        <v>165</v>
      </c>
      <c r="D985" s="22" t="s">
        <v>591</v>
      </c>
      <c r="E985" s="22" t="s">
        <v>308</v>
      </c>
      <c r="F985" s="22" t="s">
        <v>173</v>
      </c>
      <c r="G985" s="31">
        <f>14008+700+4359-200+213.6</f>
        <v>19080.599999999999</v>
      </c>
      <c r="H985" s="31">
        <v>18924.188999999998</v>
      </c>
      <c r="I985" s="31">
        <f t="shared" si="89"/>
        <v>99.180261626992859</v>
      </c>
    </row>
    <row r="986" spans="1:9" x14ac:dyDescent="0.2">
      <c r="A986" s="64" t="s">
        <v>226</v>
      </c>
      <c r="B986" s="16" t="s">
        <v>584</v>
      </c>
      <c r="C986" s="16" t="s">
        <v>165</v>
      </c>
      <c r="D986" s="16" t="s">
        <v>591</v>
      </c>
      <c r="E986" s="16" t="s">
        <v>309</v>
      </c>
      <c r="F986" s="22"/>
      <c r="G986" s="32">
        <f>G987+G989</f>
        <v>4080</v>
      </c>
      <c r="H986" s="32">
        <f>H987+H989</f>
        <v>3609.1330000000003</v>
      </c>
      <c r="I986" s="32">
        <f t="shared" si="89"/>
        <v>88.459142156862754</v>
      </c>
    </row>
    <row r="987" spans="1:9" x14ac:dyDescent="0.2">
      <c r="A987" s="68" t="s">
        <v>378</v>
      </c>
      <c r="B987" s="22" t="s">
        <v>584</v>
      </c>
      <c r="C987" s="22" t="s">
        <v>165</v>
      </c>
      <c r="D987" s="22" t="s">
        <v>591</v>
      </c>
      <c r="E987" s="22" t="s">
        <v>309</v>
      </c>
      <c r="F987" s="22" t="s">
        <v>175</v>
      </c>
      <c r="G987" s="31">
        <f>G988</f>
        <v>4055</v>
      </c>
      <c r="H987" s="31">
        <f>H988</f>
        <v>3600.8690000000001</v>
      </c>
      <c r="I987" s="31">
        <f t="shared" si="89"/>
        <v>88.80071516646116</v>
      </c>
    </row>
    <row r="988" spans="1:9" ht="15" customHeight="1" x14ac:dyDescent="0.2">
      <c r="A988" s="68" t="s">
        <v>176</v>
      </c>
      <c r="B988" s="22" t="s">
        <v>584</v>
      </c>
      <c r="C988" s="22" t="s">
        <v>165</v>
      </c>
      <c r="D988" s="22" t="s">
        <v>591</v>
      </c>
      <c r="E988" s="22" t="s">
        <v>309</v>
      </c>
      <c r="F988" s="22" t="s">
        <v>177</v>
      </c>
      <c r="G988" s="31">
        <f>3755+200+100</f>
        <v>4055</v>
      </c>
      <c r="H988" s="31">
        <v>3600.8690000000001</v>
      </c>
      <c r="I988" s="31">
        <f t="shared" si="89"/>
        <v>88.80071516646116</v>
      </c>
    </row>
    <row r="989" spans="1:9" x14ac:dyDescent="0.2">
      <c r="A989" s="68" t="s">
        <v>178</v>
      </c>
      <c r="B989" s="22" t="s">
        <v>584</v>
      </c>
      <c r="C989" s="22" t="s">
        <v>165</v>
      </c>
      <c r="D989" s="22" t="s">
        <v>591</v>
      </c>
      <c r="E989" s="22" t="s">
        <v>309</v>
      </c>
      <c r="F989" s="22" t="s">
        <v>179</v>
      </c>
      <c r="G989" s="31">
        <f>G990</f>
        <v>25</v>
      </c>
      <c r="H989" s="31">
        <f>H990</f>
        <v>8.2639999999999993</v>
      </c>
      <c r="I989" s="31">
        <f t="shared" si="89"/>
        <v>33.055999999999997</v>
      </c>
    </row>
    <row r="990" spans="1:9" x14ac:dyDescent="0.2">
      <c r="A990" s="68" t="s">
        <v>87</v>
      </c>
      <c r="B990" s="22" t="s">
        <v>584</v>
      </c>
      <c r="C990" s="22" t="s">
        <v>165</v>
      </c>
      <c r="D990" s="22" t="s">
        <v>591</v>
      </c>
      <c r="E990" s="22" t="s">
        <v>309</v>
      </c>
      <c r="F990" s="22" t="s">
        <v>180</v>
      </c>
      <c r="G990" s="31">
        <v>25</v>
      </c>
      <c r="H990" s="31">
        <v>8.2639999999999993</v>
      </c>
      <c r="I990" s="31">
        <f t="shared" si="89"/>
        <v>33.055999999999997</v>
      </c>
    </row>
    <row r="991" spans="1:9" x14ac:dyDescent="0.2">
      <c r="A991" s="67" t="s">
        <v>103</v>
      </c>
      <c r="B991" s="17" t="s">
        <v>584</v>
      </c>
      <c r="C991" s="17" t="s">
        <v>165</v>
      </c>
      <c r="D991" s="17" t="s">
        <v>184</v>
      </c>
      <c r="E991" s="17" t="s">
        <v>293</v>
      </c>
      <c r="F991" s="17"/>
      <c r="G991" s="35">
        <f t="shared" ref="G991:H995" si="91">G992</f>
        <v>2194</v>
      </c>
      <c r="H991" s="35">
        <f t="shared" si="91"/>
        <v>2134.25</v>
      </c>
      <c r="I991" s="35">
        <f t="shared" si="89"/>
        <v>97.276663628076577</v>
      </c>
    </row>
    <row r="992" spans="1:9" x14ac:dyDescent="0.2">
      <c r="A992" s="64" t="s">
        <v>193</v>
      </c>
      <c r="B992" s="16" t="s">
        <v>584</v>
      </c>
      <c r="C992" s="16" t="s">
        <v>165</v>
      </c>
      <c r="D992" s="16" t="s">
        <v>184</v>
      </c>
      <c r="E992" s="16" t="s">
        <v>294</v>
      </c>
      <c r="F992" s="16"/>
      <c r="G992" s="32">
        <f t="shared" si="91"/>
        <v>2194</v>
      </c>
      <c r="H992" s="32">
        <f t="shared" si="91"/>
        <v>2134.25</v>
      </c>
      <c r="I992" s="32">
        <f t="shared" si="89"/>
        <v>97.276663628076577</v>
      </c>
    </row>
    <row r="993" spans="1:9" ht="24" x14ac:dyDescent="0.2">
      <c r="A993" s="69" t="s">
        <v>97</v>
      </c>
      <c r="B993" s="25" t="s">
        <v>584</v>
      </c>
      <c r="C993" s="25" t="s">
        <v>165</v>
      </c>
      <c r="D993" s="25" t="s">
        <v>184</v>
      </c>
      <c r="E993" s="25" t="s">
        <v>310</v>
      </c>
      <c r="F993" s="25"/>
      <c r="G993" s="85">
        <f t="shared" si="91"/>
        <v>2194</v>
      </c>
      <c r="H993" s="85">
        <f t="shared" si="91"/>
        <v>2134.25</v>
      </c>
      <c r="I993" s="85">
        <f t="shared" si="89"/>
        <v>97.276663628076577</v>
      </c>
    </row>
    <row r="994" spans="1:9" x14ac:dyDescent="0.2">
      <c r="A994" s="66" t="s">
        <v>105</v>
      </c>
      <c r="B994" s="16" t="s">
        <v>584</v>
      </c>
      <c r="C994" s="16" t="s">
        <v>165</v>
      </c>
      <c r="D994" s="16" t="s">
        <v>184</v>
      </c>
      <c r="E994" s="16" t="s">
        <v>310</v>
      </c>
      <c r="F994" s="16"/>
      <c r="G994" s="32">
        <f t="shared" si="91"/>
        <v>2194</v>
      </c>
      <c r="H994" s="32">
        <f t="shared" si="91"/>
        <v>2134.25</v>
      </c>
      <c r="I994" s="32">
        <f t="shared" si="89"/>
        <v>97.276663628076577</v>
      </c>
    </row>
    <row r="995" spans="1:9" ht="36" x14ac:dyDescent="0.2">
      <c r="A995" s="68" t="s">
        <v>168</v>
      </c>
      <c r="B995" s="22" t="s">
        <v>584</v>
      </c>
      <c r="C995" s="22" t="s">
        <v>165</v>
      </c>
      <c r="D995" s="22" t="s">
        <v>184</v>
      </c>
      <c r="E995" s="22" t="s">
        <v>310</v>
      </c>
      <c r="F995" s="22" t="s">
        <v>169</v>
      </c>
      <c r="G995" s="31">
        <f t="shared" si="91"/>
        <v>2194</v>
      </c>
      <c r="H995" s="31">
        <f t="shared" si="91"/>
        <v>2134.25</v>
      </c>
      <c r="I995" s="31">
        <f t="shared" si="89"/>
        <v>97.276663628076577</v>
      </c>
    </row>
    <row r="996" spans="1:9" x14ac:dyDescent="0.2">
      <c r="A996" s="68" t="s">
        <v>170</v>
      </c>
      <c r="B996" s="22" t="s">
        <v>584</v>
      </c>
      <c r="C996" s="22" t="s">
        <v>165</v>
      </c>
      <c r="D996" s="22" t="s">
        <v>184</v>
      </c>
      <c r="E996" s="22" t="s">
        <v>310</v>
      </c>
      <c r="F996" s="22" t="s">
        <v>173</v>
      </c>
      <c r="G996" s="31">
        <v>2194</v>
      </c>
      <c r="H996" s="31">
        <v>2134.25</v>
      </c>
      <c r="I996" s="31">
        <f t="shared" si="89"/>
        <v>97.276663628076577</v>
      </c>
    </row>
    <row r="997" spans="1:9" ht="31.5" x14ac:dyDescent="0.2">
      <c r="A997" s="63" t="s">
        <v>502</v>
      </c>
      <c r="B997" s="36" t="s">
        <v>503</v>
      </c>
      <c r="C997" s="36"/>
      <c r="D997" s="36"/>
      <c r="E997" s="36"/>
      <c r="F997" s="74"/>
      <c r="G997" s="86">
        <f>G998</f>
        <v>13222</v>
      </c>
      <c r="H997" s="86">
        <f>H998</f>
        <v>13054.857</v>
      </c>
      <c r="I997" s="86">
        <f t="shared" si="89"/>
        <v>98.735872031462719</v>
      </c>
    </row>
    <row r="998" spans="1:9" x14ac:dyDescent="0.2">
      <c r="A998" s="64" t="s">
        <v>198</v>
      </c>
      <c r="B998" s="16" t="s">
        <v>503</v>
      </c>
      <c r="C998" s="16" t="s">
        <v>165</v>
      </c>
      <c r="D998" s="16" t="s">
        <v>166</v>
      </c>
      <c r="E998" s="16"/>
      <c r="F998" s="23"/>
      <c r="G998" s="32">
        <f>G999+G1010</f>
        <v>13222</v>
      </c>
      <c r="H998" s="32">
        <f>H999+H1010</f>
        <v>13054.857</v>
      </c>
      <c r="I998" s="32">
        <f t="shared" si="89"/>
        <v>98.735872031462719</v>
      </c>
    </row>
    <row r="999" spans="1:9" ht="24" x14ac:dyDescent="0.2">
      <c r="A999" s="64" t="s">
        <v>402</v>
      </c>
      <c r="B999" s="16" t="s">
        <v>503</v>
      </c>
      <c r="C999" s="16" t="s">
        <v>165</v>
      </c>
      <c r="D999" s="16" t="s">
        <v>379</v>
      </c>
      <c r="E999" s="16"/>
      <c r="F999" s="16"/>
      <c r="G999" s="32">
        <f>G1000</f>
        <v>13212</v>
      </c>
      <c r="H999" s="32">
        <f>H1000</f>
        <v>13044.857</v>
      </c>
      <c r="I999" s="32">
        <f t="shared" si="89"/>
        <v>98.734915228580078</v>
      </c>
    </row>
    <row r="1000" spans="1:9" ht="24" x14ac:dyDescent="0.2">
      <c r="A1000" s="65" t="s">
        <v>506</v>
      </c>
      <c r="B1000" s="17" t="s">
        <v>503</v>
      </c>
      <c r="C1000" s="17" t="s">
        <v>165</v>
      </c>
      <c r="D1000" s="17" t="s">
        <v>379</v>
      </c>
      <c r="E1000" s="17" t="s">
        <v>311</v>
      </c>
      <c r="F1000" s="25"/>
      <c r="G1000" s="35">
        <f>G1001</f>
        <v>13212</v>
      </c>
      <c r="H1000" s="35">
        <f>H1001</f>
        <v>13044.857</v>
      </c>
      <c r="I1000" s="35">
        <f t="shared" si="89"/>
        <v>98.734915228580078</v>
      </c>
    </row>
    <row r="1001" spans="1:9" x14ac:dyDescent="0.2">
      <c r="A1001" s="66" t="s">
        <v>381</v>
      </c>
      <c r="B1001" s="16" t="s">
        <v>503</v>
      </c>
      <c r="C1001" s="16" t="s">
        <v>165</v>
      </c>
      <c r="D1001" s="16" t="s">
        <v>379</v>
      </c>
      <c r="E1001" s="16" t="s">
        <v>312</v>
      </c>
      <c r="F1001" s="16"/>
      <c r="G1001" s="32">
        <f>G1002+G1005</f>
        <v>13212</v>
      </c>
      <c r="H1001" s="32">
        <f>H1002+H1005</f>
        <v>13044.857</v>
      </c>
      <c r="I1001" s="32">
        <f t="shared" si="89"/>
        <v>98.734915228580078</v>
      </c>
    </row>
    <row r="1002" spans="1:9" ht="24" x14ac:dyDescent="0.2">
      <c r="A1002" s="66" t="s">
        <v>107</v>
      </c>
      <c r="B1002" s="16" t="s">
        <v>503</v>
      </c>
      <c r="C1002" s="16" t="s">
        <v>165</v>
      </c>
      <c r="D1002" s="16" t="s">
        <v>379</v>
      </c>
      <c r="E1002" s="16" t="s">
        <v>313</v>
      </c>
      <c r="F1002" s="16"/>
      <c r="G1002" s="32">
        <f>G1003</f>
        <v>10695</v>
      </c>
      <c r="H1002" s="32">
        <f>H1003</f>
        <v>10658.682000000001</v>
      </c>
      <c r="I1002" s="32">
        <f t="shared" si="89"/>
        <v>99.660420757363255</v>
      </c>
    </row>
    <row r="1003" spans="1:9" ht="36" x14ac:dyDescent="0.2">
      <c r="A1003" s="68" t="s">
        <v>168</v>
      </c>
      <c r="B1003" s="22" t="s">
        <v>503</v>
      </c>
      <c r="C1003" s="22" t="s">
        <v>165</v>
      </c>
      <c r="D1003" s="22" t="s">
        <v>379</v>
      </c>
      <c r="E1003" s="22" t="s">
        <v>313</v>
      </c>
      <c r="F1003" s="22" t="s">
        <v>169</v>
      </c>
      <c r="G1003" s="31">
        <f>G1004</f>
        <v>10695</v>
      </c>
      <c r="H1003" s="31">
        <f>H1004</f>
        <v>10658.682000000001</v>
      </c>
      <c r="I1003" s="31">
        <f t="shared" si="89"/>
        <v>99.660420757363255</v>
      </c>
    </row>
    <row r="1004" spans="1:9" x14ac:dyDescent="0.2">
      <c r="A1004" s="68" t="s">
        <v>170</v>
      </c>
      <c r="B1004" s="22" t="s">
        <v>503</v>
      </c>
      <c r="C1004" s="22" t="s">
        <v>165</v>
      </c>
      <c r="D1004" s="22" t="s">
        <v>379</v>
      </c>
      <c r="E1004" s="22" t="s">
        <v>313</v>
      </c>
      <c r="F1004" s="22" t="s">
        <v>173</v>
      </c>
      <c r="G1004" s="31">
        <f>9403+20+2500-1228</f>
        <v>10695</v>
      </c>
      <c r="H1004" s="31">
        <v>10658.682000000001</v>
      </c>
      <c r="I1004" s="31">
        <f t="shared" si="89"/>
        <v>99.660420757363255</v>
      </c>
    </row>
    <row r="1005" spans="1:9" ht="24" x14ac:dyDescent="0.2">
      <c r="A1005" s="64" t="s">
        <v>108</v>
      </c>
      <c r="B1005" s="16" t="s">
        <v>503</v>
      </c>
      <c r="C1005" s="16" t="s">
        <v>165</v>
      </c>
      <c r="D1005" s="16" t="s">
        <v>379</v>
      </c>
      <c r="E1005" s="16" t="s">
        <v>314</v>
      </c>
      <c r="F1005" s="16"/>
      <c r="G1005" s="32">
        <f>G1006+G1008</f>
        <v>2517</v>
      </c>
      <c r="H1005" s="32">
        <f>H1006+H1008</f>
        <v>2386.1749999999997</v>
      </c>
      <c r="I1005" s="32">
        <f t="shared" si="89"/>
        <v>94.802344060389345</v>
      </c>
    </row>
    <row r="1006" spans="1:9" x14ac:dyDescent="0.2">
      <c r="A1006" s="68" t="s">
        <v>378</v>
      </c>
      <c r="B1006" s="22" t="s">
        <v>503</v>
      </c>
      <c r="C1006" s="22" t="s">
        <v>165</v>
      </c>
      <c r="D1006" s="22" t="s">
        <v>379</v>
      </c>
      <c r="E1006" s="22" t="s">
        <v>314</v>
      </c>
      <c r="F1006" s="22" t="s">
        <v>175</v>
      </c>
      <c r="G1006" s="31">
        <f>G1007</f>
        <v>2488</v>
      </c>
      <c r="H1006" s="31">
        <f>H1007</f>
        <v>2358.6309999999999</v>
      </c>
      <c r="I1006" s="31">
        <f t="shared" si="89"/>
        <v>94.800281350482308</v>
      </c>
    </row>
    <row r="1007" spans="1:9" ht="15" customHeight="1" x14ac:dyDescent="0.2">
      <c r="A1007" s="68" t="s">
        <v>176</v>
      </c>
      <c r="B1007" s="22" t="s">
        <v>503</v>
      </c>
      <c r="C1007" s="22" t="s">
        <v>165</v>
      </c>
      <c r="D1007" s="22" t="s">
        <v>379</v>
      </c>
      <c r="E1007" s="22" t="s">
        <v>314</v>
      </c>
      <c r="F1007" s="22" t="s">
        <v>177</v>
      </c>
      <c r="G1007" s="31">
        <f>2785-25-272</f>
        <v>2488</v>
      </c>
      <c r="H1007" s="31">
        <v>2358.6309999999999</v>
      </c>
      <c r="I1007" s="31">
        <f t="shared" si="89"/>
        <v>94.800281350482308</v>
      </c>
    </row>
    <row r="1008" spans="1:9" x14ac:dyDescent="0.2">
      <c r="A1008" s="68" t="s">
        <v>178</v>
      </c>
      <c r="B1008" s="22" t="s">
        <v>503</v>
      </c>
      <c r="C1008" s="22" t="s">
        <v>165</v>
      </c>
      <c r="D1008" s="22" t="s">
        <v>379</v>
      </c>
      <c r="E1008" s="22" t="s">
        <v>314</v>
      </c>
      <c r="F1008" s="22" t="s">
        <v>179</v>
      </c>
      <c r="G1008" s="31">
        <f>G1009</f>
        <v>29</v>
      </c>
      <c r="H1008" s="31">
        <f>H1009</f>
        <v>27.544</v>
      </c>
      <c r="I1008" s="31">
        <f t="shared" si="89"/>
        <v>94.979310344827582</v>
      </c>
    </row>
    <row r="1009" spans="1:9" x14ac:dyDescent="0.2">
      <c r="A1009" s="68" t="s">
        <v>87</v>
      </c>
      <c r="B1009" s="22" t="s">
        <v>503</v>
      </c>
      <c r="C1009" s="22" t="s">
        <v>165</v>
      </c>
      <c r="D1009" s="22" t="s">
        <v>379</v>
      </c>
      <c r="E1009" s="22" t="s">
        <v>314</v>
      </c>
      <c r="F1009" s="22" t="s">
        <v>180</v>
      </c>
      <c r="G1009" s="31">
        <f>14-5+25-5</f>
        <v>29</v>
      </c>
      <c r="H1009" s="31">
        <v>27.544</v>
      </c>
      <c r="I1009" s="31">
        <f t="shared" si="89"/>
        <v>94.979310344827582</v>
      </c>
    </row>
    <row r="1010" spans="1:9" x14ac:dyDescent="0.2">
      <c r="A1010" s="64" t="s">
        <v>405</v>
      </c>
      <c r="B1010" s="16" t="s">
        <v>503</v>
      </c>
      <c r="C1010" s="16" t="s">
        <v>165</v>
      </c>
      <c r="D1010" s="16" t="s">
        <v>184</v>
      </c>
      <c r="E1010" s="16"/>
      <c r="F1010" s="16"/>
      <c r="G1010" s="32">
        <f t="shared" ref="G1010:H1013" si="92">G1011</f>
        <v>10</v>
      </c>
      <c r="H1010" s="32">
        <f t="shared" si="92"/>
        <v>10</v>
      </c>
      <c r="I1010" s="32">
        <f t="shared" si="89"/>
        <v>100</v>
      </c>
    </row>
    <row r="1011" spans="1:9" x14ac:dyDescent="0.2">
      <c r="A1011" s="64" t="s">
        <v>381</v>
      </c>
      <c r="B1011" s="16" t="s">
        <v>503</v>
      </c>
      <c r="C1011" s="16" t="s">
        <v>165</v>
      </c>
      <c r="D1011" s="16" t="s">
        <v>184</v>
      </c>
      <c r="E1011" s="33" t="s">
        <v>294</v>
      </c>
      <c r="F1011" s="16"/>
      <c r="G1011" s="32">
        <f t="shared" si="92"/>
        <v>10</v>
      </c>
      <c r="H1011" s="32">
        <f t="shared" si="92"/>
        <v>10</v>
      </c>
      <c r="I1011" s="32">
        <f t="shared" ref="I1011:I1014" si="93">H1011/G1011*100</f>
        <v>100</v>
      </c>
    </row>
    <row r="1012" spans="1:9" x14ac:dyDescent="0.2">
      <c r="A1012" s="67" t="s">
        <v>406</v>
      </c>
      <c r="B1012" s="17" t="s">
        <v>503</v>
      </c>
      <c r="C1012" s="17" t="s">
        <v>165</v>
      </c>
      <c r="D1012" s="17" t="s">
        <v>184</v>
      </c>
      <c r="E1012" s="44" t="s">
        <v>104</v>
      </c>
      <c r="F1012" s="17"/>
      <c r="G1012" s="35">
        <f t="shared" si="92"/>
        <v>10</v>
      </c>
      <c r="H1012" s="35">
        <f t="shared" si="92"/>
        <v>10</v>
      </c>
      <c r="I1012" s="35">
        <f t="shared" si="93"/>
        <v>100</v>
      </c>
    </row>
    <row r="1013" spans="1:9" x14ac:dyDescent="0.2">
      <c r="A1013" s="68" t="s">
        <v>178</v>
      </c>
      <c r="B1013" s="22" t="s">
        <v>503</v>
      </c>
      <c r="C1013" s="22" t="s">
        <v>165</v>
      </c>
      <c r="D1013" s="22" t="s">
        <v>184</v>
      </c>
      <c r="E1013" s="30" t="s">
        <v>104</v>
      </c>
      <c r="F1013" s="22" t="s">
        <v>179</v>
      </c>
      <c r="G1013" s="31">
        <f t="shared" si="92"/>
        <v>10</v>
      </c>
      <c r="H1013" s="31">
        <f t="shared" si="92"/>
        <v>10</v>
      </c>
      <c r="I1013" s="31">
        <f t="shared" si="93"/>
        <v>100</v>
      </c>
    </row>
    <row r="1014" spans="1:9" x14ac:dyDescent="0.2">
      <c r="A1014" s="68" t="s">
        <v>228</v>
      </c>
      <c r="B1014" s="22" t="s">
        <v>503</v>
      </c>
      <c r="C1014" s="22" t="s">
        <v>165</v>
      </c>
      <c r="D1014" s="22" t="s">
        <v>184</v>
      </c>
      <c r="E1014" s="30" t="s">
        <v>104</v>
      </c>
      <c r="F1014" s="22" t="s">
        <v>232</v>
      </c>
      <c r="G1014" s="31">
        <f>5+5</f>
        <v>10</v>
      </c>
      <c r="H1014" s="31">
        <v>10</v>
      </c>
      <c r="I1014" s="31">
        <f t="shared" si="93"/>
        <v>100</v>
      </c>
    </row>
    <row r="1015" spans="1:9" x14ac:dyDescent="0.2">
      <c r="A1015" s="46"/>
      <c r="B1015" s="6"/>
      <c r="C1015" s="6"/>
      <c r="D1015" s="6"/>
      <c r="E1015" s="6"/>
      <c r="F1015" s="6"/>
    </row>
    <row r="1016" spans="1:9" ht="15" x14ac:dyDescent="0.25">
      <c r="A1016" s="119"/>
      <c r="B1016" s="6"/>
      <c r="C1016" s="6"/>
      <c r="D1016" s="6"/>
      <c r="E1016" s="6"/>
      <c r="F1016" s="6"/>
    </row>
    <row r="1017" spans="1:9" x14ac:dyDescent="0.2">
      <c r="A1017" s="46"/>
      <c r="B1017" s="6"/>
      <c r="C1017" s="6"/>
      <c r="D1017" s="6"/>
      <c r="E1017" s="6"/>
      <c r="F1017" s="6"/>
    </row>
    <row r="1018" spans="1:9" x14ac:dyDescent="0.2">
      <c r="A1018" s="46"/>
      <c r="B1018" s="6"/>
      <c r="C1018" s="6"/>
      <c r="D1018" s="6"/>
      <c r="E1018" s="6"/>
      <c r="F1018" s="6"/>
    </row>
    <row r="1019" spans="1:9" x14ac:dyDescent="0.2">
      <c r="A1019" s="46"/>
      <c r="B1019" s="6"/>
      <c r="C1019" s="6"/>
      <c r="D1019" s="6"/>
      <c r="E1019" s="6"/>
      <c r="F1019" s="6"/>
    </row>
    <row r="1020" spans="1:9" x14ac:dyDescent="0.2">
      <c r="A1020" s="46"/>
      <c r="B1020" s="6"/>
      <c r="C1020" s="6"/>
      <c r="D1020" s="6"/>
      <c r="E1020" s="6"/>
      <c r="F1020" s="6"/>
    </row>
    <row r="1021" spans="1:9" x14ac:dyDescent="0.2">
      <c r="A1021" s="46"/>
      <c r="B1021" s="6"/>
      <c r="C1021" s="6"/>
      <c r="D1021" s="6"/>
      <c r="E1021" s="6"/>
      <c r="F1021" s="6"/>
    </row>
    <row r="1022" spans="1:9" x14ac:dyDescent="0.2">
      <c r="A1022" s="46"/>
      <c r="B1022" s="6"/>
      <c r="C1022" s="6"/>
      <c r="D1022" s="6"/>
      <c r="E1022" s="6"/>
      <c r="F1022" s="6"/>
    </row>
    <row r="1023" spans="1:9" x14ac:dyDescent="0.2">
      <c r="A1023" s="46"/>
      <c r="B1023" s="6"/>
      <c r="C1023" s="6"/>
      <c r="D1023" s="6"/>
      <c r="E1023" s="6"/>
      <c r="F1023" s="6"/>
    </row>
    <row r="1024" spans="1:9" x14ac:dyDescent="0.2">
      <c r="A1024" s="46"/>
      <c r="B1024" s="6"/>
      <c r="C1024" s="6"/>
      <c r="D1024" s="6"/>
      <c r="E1024" s="6"/>
      <c r="F1024" s="6"/>
    </row>
    <row r="1025" spans="1:6" x14ac:dyDescent="0.2">
      <c r="A1025" s="46"/>
      <c r="B1025" s="6"/>
      <c r="C1025" s="6"/>
      <c r="D1025" s="6"/>
      <c r="E1025" s="6"/>
      <c r="F1025" s="6"/>
    </row>
    <row r="1026" spans="1:6" x14ac:dyDescent="0.2">
      <c r="A1026" s="46"/>
      <c r="B1026" s="6"/>
      <c r="C1026" s="6"/>
      <c r="D1026" s="6"/>
      <c r="E1026" s="6"/>
      <c r="F1026" s="6"/>
    </row>
    <row r="1027" spans="1:6" x14ac:dyDescent="0.2">
      <c r="A1027" s="46"/>
      <c r="B1027" s="6"/>
      <c r="C1027" s="6"/>
      <c r="D1027" s="6"/>
      <c r="E1027" s="6"/>
      <c r="F1027" s="6"/>
    </row>
    <row r="1028" spans="1:6" x14ac:dyDescent="0.2">
      <c r="A1028" s="46"/>
      <c r="B1028" s="6"/>
      <c r="C1028" s="6"/>
      <c r="D1028" s="6"/>
      <c r="E1028" s="6"/>
      <c r="F1028" s="6"/>
    </row>
    <row r="1029" spans="1:6" x14ac:dyDescent="0.2">
      <c r="A1029" s="46"/>
      <c r="B1029" s="6"/>
      <c r="C1029" s="6"/>
      <c r="D1029" s="6"/>
      <c r="E1029" s="6"/>
      <c r="F1029" s="6"/>
    </row>
    <row r="1030" spans="1:6" x14ac:dyDescent="0.2">
      <c r="A1030" s="46"/>
      <c r="B1030" s="6"/>
      <c r="C1030" s="6"/>
      <c r="D1030" s="6"/>
      <c r="E1030" s="6"/>
      <c r="F1030" s="6"/>
    </row>
    <row r="1031" spans="1:6" x14ac:dyDescent="0.2">
      <c r="A1031" s="46"/>
      <c r="B1031" s="6"/>
      <c r="C1031" s="6"/>
      <c r="D1031" s="6"/>
      <c r="E1031" s="6"/>
      <c r="F1031" s="6"/>
    </row>
    <row r="1032" spans="1:6" x14ac:dyDescent="0.2">
      <c r="A1032" s="46"/>
      <c r="B1032" s="6"/>
      <c r="C1032" s="6"/>
      <c r="D1032" s="6"/>
      <c r="E1032" s="6"/>
      <c r="F1032" s="6"/>
    </row>
    <row r="1033" spans="1:6" x14ac:dyDescent="0.2">
      <c r="A1033" s="46"/>
      <c r="B1033" s="6"/>
      <c r="C1033" s="6"/>
      <c r="D1033" s="6"/>
      <c r="E1033" s="6"/>
      <c r="F1033" s="6"/>
    </row>
    <row r="1034" spans="1:6" x14ac:dyDescent="0.2">
      <c r="A1034" s="46"/>
      <c r="B1034" s="6"/>
      <c r="C1034" s="6"/>
      <c r="D1034" s="6"/>
      <c r="E1034" s="6"/>
      <c r="F1034" s="6"/>
    </row>
    <row r="1035" spans="1:6" x14ac:dyDescent="0.2">
      <c r="A1035" s="46"/>
      <c r="B1035" s="6"/>
      <c r="C1035" s="6"/>
      <c r="D1035" s="6"/>
      <c r="E1035" s="6"/>
      <c r="F1035" s="6"/>
    </row>
    <row r="1036" spans="1:6" x14ac:dyDescent="0.2">
      <c r="A1036" s="46"/>
      <c r="B1036" s="6"/>
      <c r="C1036" s="6"/>
      <c r="D1036" s="6"/>
      <c r="E1036" s="6"/>
      <c r="F1036" s="6"/>
    </row>
    <row r="1037" spans="1:6" x14ac:dyDescent="0.2">
      <c r="A1037" s="46"/>
      <c r="B1037" s="6"/>
      <c r="C1037" s="6"/>
      <c r="D1037" s="6"/>
      <c r="E1037" s="6"/>
      <c r="F1037" s="6"/>
    </row>
    <row r="1038" spans="1:6" x14ac:dyDescent="0.2">
      <c r="A1038" s="46"/>
      <c r="B1038" s="6"/>
      <c r="C1038" s="6"/>
      <c r="D1038" s="6"/>
      <c r="E1038" s="6"/>
      <c r="F1038" s="6"/>
    </row>
    <row r="1039" spans="1:6" x14ac:dyDescent="0.2">
      <c r="A1039" s="46"/>
      <c r="B1039" s="6"/>
      <c r="C1039" s="6"/>
      <c r="D1039" s="6"/>
      <c r="E1039" s="6"/>
      <c r="F1039" s="6"/>
    </row>
    <row r="1040" spans="1:6" x14ac:dyDescent="0.2">
      <c r="A1040" s="46"/>
      <c r="B1040" s="6"/>
      <c r="C1040" s="6"/>
      <c r="D1040" s="6"/>
      <c r="E1040" s="6"/>
      <c r="F1040" s="6"/>
    </row>
    <row r="1041" spans="1:6" x14ac:dyDescent="0.2">
      <c r="A1041" s="46"/>
      <c r="B1041" s="6"/>
      <c r="C1041" s="6"/>
      <c r="D1041" s="6"/>
      <c r="E1041" s="6"/>
      <c r="F1041" s="6"/>
    </row>
    <row r="1042" spans="1:6" x14ac:dyDescent="0.2">
      <c r="A1042" s="46"/>
      <c r="B1042" s="6"/>
      <c r="C1042" s="6"/>
      <c r="D1042" s="6"/>
      <c r="E1042" s="6"/>
      <c r="F1042" s="6"/>
    </row>
    <row r="1043" spans="1:6" x14ac:dyDescent="0.2">
      <c r="A1043" s="46"/>
      <c r="B1043" s="6"/>
      <c r="C1043" s="6"/>
      <c r="D1043" s="6"/>
      <c r="E1043" s="6"/>
      <c r="F1043" s="6"/>
    </row>
    <row r="1044" spans="1:6" x14ac:dyDescent="0.2">
      <c r="A1044" s="46"/>
      <c r="B1044" s="6"/>
      <c r="C1044" s="6"/>
      <c r="D1044" s="6"/>
      <c r="E1044" s="6"/>
      <c r="F1044" s="6"/>
    </row>
    <row r="1045" spans="1:6" x14ac:dyDescent="0.2">
      <c r="A1045" s="46"/>
      <c r="B1045" s="6"/>
      <c r="C1045" s="6"/>
      <c r="D1045" s="6"/>
      <c r="E1045" s="6"/>
      <c r="F1045" s="6"/>
    </row>
    <row r="1046" spans="1:6" x14ac:dyDescent="0.2">
      <c r="A1046" s="46"/>
      <c r="B1046" s="6"/>
      <c r="C1046" s="6"/>
      <c r="D1046" s="6"/>
      <c r="E1046" s="6"/>
      <c r="F1046" s="6"/>
    </row>
    <row r="1047" spans="1:6" x14ac:dyDescent="0.2">
      <c r="A1047" s="46"/>
      <c r="B1047" s="6"/>
      <c r="C1047" s="6"/>
      <c r="D1047" s="6"/>
      <c r="E1047" s="6"/>
      <c r="F1047" s="6"/>
    </row>
    <row r="1048" spans="1:6" x14ac:dyDescent="0.2">
      <c r="A1048" s="46"/>
      <c r="B1048" s="6"/>
      <c r="C1048" s="6"/>
      <c r="D1048" s="6"/>
      <c r="E1048" s="6"/>
      <c r="F1048" s="6"/>
    </row>
    <row r="1049" spans="1:6" x14ac:dyDescent="0.2">
      <c r="A1049" s="46"/>
      <c r="B1049" s="6"/>
      <c r="C1049" s="6"/>
      <c r="D1049" s="6"/>
      <c r="E1049" s="6"/>
      <c r="F1049" s="6"/>
    </row>
    <row r="1050" spans="1:6" x14ac:dyDescent="0.2">
      <c r="A1050" s="46"/>
      <c r="B1050" s="6"/>
      <c r="C1050" s="6"/>
      <c r="D1050" s="6"/>
      <c r="E1050" s="6"/>
      <c r="F1050" s="6"/>
    </row>
    <row r="1051" spans="1:6" x14ac:dyDescent="0.2">
      <c r="A1051" s="46"/>
      <c r="B1051" s="6"/>
      <c r="C1051" s="6"/>
      <c r="D1051" s="6"/>
      <c r="E1051" s="6"/>
      <c r="F1051" s="6"/>
    </row>
    <row r="1052" spans="1:6" x14ac:dyDescent="0.2">
      <c r="A1052" s="46"/>
      <c r="B1052" s="6"/>
      <c r="C1052" s="6"/>
      <c r="D1052" s="6"/>
      <c r="E1052" s="6"/>
      <c r="F1052" s="6"/>
    </row>
    <row r="1053" spans="1:6" x14ac:dyDescent="0.2">
      <c r="A1053" s="46"/>
      <c r="B1053" s="6"/>
      <c r="C1053" s="6"/>
      <c r="D1053" s="6"/>
      <c r="E1053" s="6"/>
      <c r="F1053" s="6"/>
    </row>
    <row r="1054" spans="1:6" x14ac:dyDescent="0.2">
      <c r="A1054" s="46"/>
      <c r="B1054" s="6"/>
      <c r="C1054" s="6"/>
      <c r="D1054" s="6"/>
      <c r="E1054" s="6"/>
      <c r="F1054" s="6"/>
    </row>
    <row r="1055" spans="1:6" x14ac:dyDescent="0.2">
      <c r="A1055" s="46"/>
      <c r="B1055" s="6"/>
      <c r="C1055" s="6"/>
      <c r="D1055" s="6"/>
      <c r="E1055" s="6"/>
      <c r="F1055" s="6"/>
    </row>
    <row r="1056" spans="1:6" x14ac:dyDescent="0.2">
      <c r="A1056" s="46"/>
      <c r="B1056" s="6"/>
      <c r="C1056" s="6"/>
      <c r="D1056" s="6"/>
      <c r="E1056" s="6"/>
      <c r="F1056" s="6"/>
    </row>
    <row r="1057" spans="1:6" x14ac:dyDescent="0.2">
      <c r="A1057" s="46"/>
      <c r="B1057" s="6"/>
      <c r="C1057" s="6"/>
      <c r="D1057" s="6"/>
      <c r="E1057" s="6"/>
      <c r="F1057" s="6"/>
    </row>
    <row r="1058" spans="1:6" x14ac:dyDescent="0.2">
      <c r="A1058" s="46"/>
      <c r="B1058" s="6"/>
      <c r="C1058" s="6"/>
      <c r="D1058" s="6"/>
      <c r="E1058" s="6"/>
      <c r="F1058" s="6"/>
    </row>
    <row r="1059" spans="1:6" x14ac:dyDescent="0.2">
      <c r="A1059" s="46"/>
      <c r="B1059" s="6"/>
      <c r="C1059" s="6"/>
      <c r="D1059" s="6"/>
      <c r="E1059" s="6"/>
      <c r="F1059" s="6"/>
    </row>
    <row r="1060" spans="1:6" x14ac:dyDescent="0.2">
      <c r="A1060" s="46"/>
      <c r="B1060" s="6"/>
      <c r="C1060" s="6"/>
      <c r="D1060" s="6"/>
      <c r="E1060" s="6"/>
      <c r="F1060" s="6"/>
    </row>
    <row r="1061" spans="1:6" x14ac:dyDescent="0.2">
      <c r="A1061" s="46"/>
      <c r="B1061" s="6"/>
      <c r="C1061" s="6"/>
      <c r="D1061" s="6"/>
      <c r="E1061" s="6"/>
      <c r="F1061" s="6"/>
    </row>
    <row r="1062" spans="1:6" x14ac:dyDescent="0.2">
      <c r="A1062" s="46"/>
      <c r="B1062" s="6"/>
      <c r="C1062" s="6"/>
      <c r="D1062" s="6"/>
      <c r="E1062" s="6"/>
      <c r="F1062" s="6"/>
    </row>
    <row r="1063" spans="1:6" x14ac:dyDescent="0.2">
      <c r="A1063" s="46"/>
      <c r="B1063" s="6"/>
      <c r="C1063" s="6"/>
      <c r="D1063" s="6"/>
      <c r="E1063" s="6"/>
      <c r="F1063" s="6"/>
    </row>
    <row r="1064" spans="1:6" x14ac:dyDescent="0.2">
      <c r="A1064" s="46"/>
      <c r="B1064" s="6"/>
      <c r="C1064" s="6"/>
      <c r="D1064" s="6"/>
      <c r="E1064" s="6"/>
      <c r="F1064" s="6"/>
    </row>
    <row r="1065" spans="1:6" x14ac:dyDescent="0.2">
      <c r="A1065" s="46"/>
      <c r="B1065" s="6"/>
      <c r="C1065" s="6"/>
      <c r="D1065" s="6"/>
      <c r="E1065" s="6"/>
      <c r="F1065" s="6"/>
    </row>
    <row r="1066" spans="1:6" x14ac:dyDescent="0.2">
      <c r="A1066" s="46"/>
      <c r="B1066" s="6"/>
      <c r="C1066" s="6"/>
      <c r="D1066" s="6"/>
      <c r="E1066" s="6"/>
      <c r="F1066" s="6"/>
    </row>
    <row r="1067" spans="1:6" x14ac:dyDescent="0.2">
      <c r="A1067" s="46"/>
      <c r="B1067" s="6"/>
      <c r="C1067" s="6"/>
      <c r="D1067" s="6"/>
      <c r="E1067" s="6"/>
      <c r="F1067" s="6"/>
    </row>
    <row r="1068" spans="1:6" x14ac:dyDescent="0.2">
      <c r="A1068" s="46"/>
      <c r="B1068" s="6"/>
      <c r="C1068" s="6"/>
      <c r="D1068" s="6"/>
      <c r="E1068" s="6"/>
      <c r="F1068" s="6"/>
    </row>
    <row r="1069" spans="1:6" x14ac:dyDescent="0.2">
      <c r="A1069" s="46"/>
      <c r="B1069" s="6"/>
      <c r="C1069" s="6"/>
      <c r="D1069" s="6"/>
      <c r="E1069" s="6"/>
      <c r="F1069" s="6"/>
    </row>
    <row r="1070" spans="1:6" x14ac:dyDescent="0.2">
      <c r="A1070" s="46"/>
      <c r="B1070" s="6"/>
      <c r="C1070" s="6"/>
      <c r="D1070" s="6"/>
      <c r="E1070" s="6"/>
      <c r="F1070" s="6"/>
    </row>
    <row r="1071" spans="1:6" x14ac:dyDescent="0.2">
      <c r="A1071" s="46"/>
      <c r="B1071" s="6"/>
      <c r="C1071" s="6"/>
      <c r="D1071" s="6"/>
      <c r="E1071" s="6"/>
      <c r="F1071" s="6"/>
    </row>
    <row r="1072" spans="1:6" x14ac:dyDescent="0.2">
      <c r="A1072" s="46"/>
      <c r="B1072" s="6"/>
      <c r="C1072" s="6"/>
      <c r="D1072" s="6"/>
      <c r="E1072" s="6"/>
      <c r="F1072" s="6"/>
    </row>
    <row r="1073" spans="1:6" x14ac:dyDescent="0.2">
      <c r="A1073" s="46"/>
      <c r="B1073" s="6"/>
      <c r="C1073" s="6"/>
      <c r="D1073" s="6"/>
      <c r="E1073" s="6"/>
      <c r="F1073" s="6"/>
    </row>
    <row r="1074" spans="1:6" x14ac:dyDescent="0.2">
      <c r="A1074" s="46"/>
      <c r="B1074" s="6"/>
      <c r="C1074" s="6"/>
      <c r="D1074" s="6"/>
      <c r="E1074" s="6"/>
      <c r="F1074" s="6"/>
    </row>
    <row r="1075" spans="1:6" x14ac:dyDescent="0.2">
      <c r="A1075" s="46"/>
      <c r="B1075" s="6"/>
      <c r="C1075" s="6"/>
      <c r="D1075" s="6"/>
      <c r="E1075" s="6"/>
      <c r="F1075" s="6"/>
    </row>
    <row r="1076" spans="1:6" x14ac:dyDescent="0.2">
      <c r="A1076" s="46"/>
      <c r="B1076" s="6"/>
      <c r="C1076" s="6"/>
      <c r="D1076" s="6"/>
      <c r="E1076" s="6"/>
      <c r="F1076" s="6"/>
    </row>
    <row r="1077" spans="1:6" x14ac:dyDescent="0.2">
      <c r="A1077" s="46"/>
      <c r="B1077" s="6"/>
      <c r="C1077" s="6"/>
      <c r="D1077" s="6"/>
      <c r="E1077" s="6"/>
      <c r="F1077" s="6"/>
    </row>
    <row r="1078" spans="1:6" x14ac:dyDescent="0.2">
      <c r="A1078" s="46"/>
      <c r="B1078" s="6"/>
      <c r="C1078" s="6"/>
      <c r="D1078" s="6"/>
      <c r="E1078" s="6"/>
      <c r="F1078" s="6"/>
    </row>
    <row r="1079" spans="1:6" x14ac:dyDescent="0.2">
      <c r="A1079" s="46"/>
      <c r="B1079" s="6"/>
      <c r="C1079" s="6"/>
      <c r="D1079" s="6"/>
      <c r="E1079" s="6"/>
      <c r="F1079" s="6"/>
    </row>
    <row r="1080" spans="1:6" x14ac:dyDescent="0.2">
      <c r="A1080" s="46"/>
      <c r="B1080" s="6"/>
      <c r="C1080" s="6"/>
      <c r="D1080" s="6"/>
      <c r="E1080" s="6"/>
      <c r="F1080" s="6"/>
    </row>
    <row r="1081" spans="1:6" x14ac:dyDescent="0.2">
      <c r="A1081" s="46"/>
      <c r="B1081" s="6"/>
      <c r="C1081" s="6"/>
      <c r="D1081" s="6"/>
      <c r="E1081" s="6"/>
      <c r="F1081" s="6"/>
    </row>
    <row r="1082" spans="1:6" x14ac:dyDescent="0.2">
      <c r="A1082" s="46"/>
      <c r="B1082" s="6"/>
      <c r="C1082" s="6"/>
      <c r="D1082" s="6"/>
      <c r="E1082" s="6"/>
      <c r="F1082" s="6"/>
    </row>
    <row r="1083" spans="1:6" x14ac:dyDescent="0.2">
      <c r="A1083" s="46"/>
      <c r="B1083" s="6"/>
      <c r="C1083" s="6"/>
      <c r="D1083" s="6"/>
      <c r="E1083" s="6"/>
      <c r="F1083" s="6"/>
    </row>
    <row r="1084" spans="1:6" x14ac:dyDescent="0.2">
      <c r="A1084" s="46"/>
      <c r="B1084" s="6"/>
      <c r="C1084" s="6"/>
      <c r="D1084" s="6"/>
      <c r="E1084" s="6"/>
      <c r="F1084" s="6"/>
    </row>
    <row r="1085" spans="1:6" x14ac:dyDescent="0.2">
      <c r="A1085" s="46"/>
      <c r="B1085" s="6"/>
      <c r="C1085" s="6"/>
      <c r="D1085" s="6"/>
      <c r="E1085" s="6"/>
      <c r="F1085" s="6"/>
    </row>
    <row r="1086" spans="1:6" x14ac:dyDescent="0.2">
      <c r="A1086" s="46"/>
      <c r="B1086" s="6"/>
      <c r="C1086" s="6"/>
      <c r="D1086" s="6"/>
      <c r="E1086" s="6"/>
      <c r="F1086" s="6"/>
    </row>
    <row r="1087" spans="1:6" x14ac:dyDescent="0.2">
      <c r="A1087" s="46"/>
      <c r="B1087" s="6"/>
      <c r="C1087" s="6"/>
      <c r="D1087" s="6"/>
      <c r="E1087" s="6"/>
      <c r="F1087" s="6"/>
    </row>
    <row r="1088" spans="1:6" x14ac:dyDescent="0.2">
      <c r="A1088" s="46"/>
      <c r="B1088" s="6"/>
      <c r="C1088" s="6"/>
      <c r="D1088" s="6"/>
      <c r="E1088" s="6"/>
      <c r="F1088" s="6"/>
    </row>
    <row r="1089" spans="1:6" x14ac:dyDescent="0.2">
      <c r="A1089" s="46"/>
      <c r="B1089" s="6"/>
      <c r="C1089" s="6"/>
      <c r="D1089" s="6"/>
      <c r="E1089" s="6"/>
      <c r="F1089" s="6"/>
    </row>
    <row r="1090" spans="1:6" x14ac:dyDescent="0.2">
      <c r="A1090" s="46"/>
      <c r="B1090" s="6"/>
      <c r="C1090" s="6"/>
      <c r="D1090" s="6"/>
      <c r="E1090" s="6"/>
      <c r="F1090" s="6"/>
    </row>
    <row r="1091" spans="1:6" x14ac:dyDescent="0.2">
      <c r="A1091" s="46"/>
      <c r="B1091" s="6"/>
      <c r="C1091" s="6"/>
      <c r="D1091" s="6"/>
      <c r="E1091" s="6"/>
      <c r="F1091" s="6"/>
    </row>
    <row r="1092" spans="1:6" x14ac:dyDescent="0.2">
      <c r="A1092" s="46"/>
      <c r="B1092" s="6"/>
      <c r="C1092" s="6"/>
      <c r="D1092" s="6"/>
      <c r="E1092" s="6"/>
      <c r="F1092" s="6"/>
    </row>
    <row r="1093" spans="1:6" x14ac:dyDescent="0.2">
      <c r="A1093" s="46"/>
      <c r="B1093" s="6"/>
      <c r="C1093" s="6"/>
      <c r="D1093" s="6"/>
      <c r="E1093" s="6"/>
      <c r="F1093" s="6"/>
    </row>
    <row r="1094" spans="1:6" x14ac:dyDescent="0.2">
      <c r="A1094" s="46"/>
      <c r="B1094" s="6"/>
      <c r="C1094" s="6"/>
      <c r="D1094" s="6"/>
      <c r="E1094" s="6"/>
      <c r="F1094" s="6"/>
    </row>
    <row r="1095" spans="1:6" x14ac:dyDescent="0.2">
      <c r="A1095" s="46"/>
      <c r="B1095" s="6"/>
      <c r="C1095" s="6"/>
      <c r="D1095" s="6"/>
      <c r="E1095" s="6"/>
      <c r="F1095" s="6"/>
    </row>
    <row r="1096" spans="1:6" x14ac:dyDescent="0.2">
      <c r="A1096" s="46"/>
      <c r="B1096" s="6"/>
      <c r="C1096" s="6"/>
      <c r="D1096" s="6"/>
      <c r="E1096" s="6"/>
      <c r="F1096" s="6"/>
    </row>
    <row r="1097" spans="1:6" x14ac:dyDescent="0.2">
      <c r="A1097" s="46"/>
      <c r="B1097" s="6"/>
      <c r="C1097" s="6"/>
      <c r="D1097" s="6"/>
      <c r="E1097" s="6"/>
      <c r="F1097" s="6"/>
    </row>
    <row r="1098" spans="1:6" x14ac:dyDescent="0.2">
      <c r="A1098" s="46"/>
      <c r="B1098" s="6"/>
      <c r="C1098" s="6"/>
      <c r="D1098" s="6"/>
      <c r="E1098" s="6"/>
      <c r="F1098" s="6"/>
    </row>
    <row r="1099" spans="1:6" x14ac:dyDescent="0.2">
      <c r="A1099" s="46"/>
      <c r="B1099" s="6"/>
      <c r="C1099" s="6"/>
      <c r="D1099" s="6"/>
      <c r="E1099" s="6"/>
      <c r="F1099" s="6"/>
    </row>
    <row r="1100" spans="1:6" x14ac:dyDescent="0.2">
      <c r="A1100" s="46"/>
      <c r="B1100" s="6"/>
      <c r="C1100" s="6"/>
      <c r="D1100" s="6"/>
      <c r="E1100" s="6"/>
      <c r="F1100" s="6"/>
    </row>
    <row r="1101" spans="1:6" x14ac:dyDescent="0.2">
      <c r="A1101" s="46"/>
      <c r="B1101" s="6"/>
      <c r="C1101" s="6"/>
      <c r="D1101" s="6"/>
      <c r="E1101" s="6"/>
      <c r="F1101" s="6"/>
    </row>
    <row r="1102" spans="1:6" x14ac:dyDescent="0.2">
      <c r="A1102" s="46"/>
      <c r="B1102" s="6"/>
      <c r="C1102" s="6"/>
      <c r="D1102" s="6"/>
      <c r="E1102" s="6"/>
      <c r="F1102" s="6"/>
    </row>
    <row r="1103" spans="1:6" x14ac:dyDescent="0.2">
      <c r="A1103" s="46"/>
      <c r="B1103" s="6"/>
      <c r="C1103" s="6"/>
      <c r="D1103" s="6"/>
      <c r="E1103" s="6"/>
      <c r="F1103" s="6"/>
    </row>
    <row r="1104" spans="1:6" x14ac:dyDescent="0.2">
      <c r="A1104" s="46"/>
      <c r="B1104" s="6"/>
      <c r="C1104" s="6"/>
      <c r="D1104" s="6"/>
      <c r="E1104" s="6"/>
      <c r="F1104" s="6"/>
    </row>
    <row r="1105" spans="1:6" x14ac:dyDescent="0.2">
      <c r="A1105" s="46"/>
      <c r="B1105" s="6"/>
      <c r="C1105" s="6"/>
      <c r="D1105" s="6"/>
      <c r="E1105" s="6"/>
      <c r="F1105" s="6"/>
    </row>
    <row r="1106" spans="1:6" x14ac:dyDescent="0.2">
      <c r="A1106" s="46"/>
      <c r="B1106" s="6"/>
      <c r="C1106" s="6"/>
      <c r="D1106" s="6"/>
      <c r="E1106" s="6"/>
      <c r="F1106" s="6"/>
    </row>
    <row r="1107" spans="1:6" x14ac:dyDescent="0.2">
      <c r="A1107" s="46"/>
      <c r="B1107" s="6"/>
      <c r="C1107" s="6"/>
      <c r="D1107" s="6"/>
      <c r="E1107" s="6"/>
      <c r="F1107" s="6"/>
    </row>
    <row r="1108" spans="1:6" x14ac:dyDescent="0.2">
      <c r="A1108" s="46"/>
      <c r="B1108" s="6"/>
      <c r="C1108" s="6"/>
      <c r="D1108" s="6"/>
      <c r="E1108" s="6"/>
      <c r="F1108" s="6"/>
    </row>
    <row r="1109" spans="1:6" x14ac:dyDescent="0.2">
      <c r="A1109" s="46"/>
      <c r="B1109" s="6"/>
      <c r="C1109" s="6"/>
      <c r="D1109" s="6"/>
      <c r="E1109" s="6"/>
      <c r="F1109" s="6"/>
    </row>
    <row r="1110" spans="1:6" x14ac:dyDescent="0.2">
      <c r="A1110" s="46"/>
      <c r="B1110" s="6"/>
      <c r="C1110" s="6"/>
      <c r="D1110" s="6"/>
      <c r="E1110" s="6"/>
      <c r="F1110" s="6"/>
    </row>
    <row r="1111" spans="1:6" x14ac:dyDescent="0.2">
      <c r="A1111" s="46"/>
      <c r="B1111" s="6"/>
      <c r="C1111" s="6"/>
      <c r="D1111" s="6"/>
      <c r="E1111" s="6"/>
      <c r="F1111" s="6"/>
    </row>
    <row r="1112" spans="1:6" x14ac:dyDescent="0.2">
      <c r="A1112" s="46"/>
      <c r="B1112" s="6"/>
      <c r="C1112" s="6"/>
      <c r="D1112" s="6"/>
      <c r="E1112" s="6"/>
      <c r="F1112" s="6"/>
    </row>
    <row r="1113" spans="1:6" x14ac:dyDescent="0.2">
      <c r="A1113" s="46"/>
      <c r="B1113" s="6"/>
      <c r="C1113" s="6"/>
      <c r="D1113" s="6"/>
      <c r="E1113" s="6"/>
      <c r="F1113" s="6"/>
    </row>
    <row r="1114" spans="1:6" x14ac:dyDescent="0.2">
      <c r="A1114" s="46"/>
      <c r="B1114" s="6"/>
      <c r="C1114" s="6"/>
      <c r="D1114" s="6"/>
      <c r="E1114" s="6"/>
      <c r="F1114" s="6"/>
    </row>
    <row r="1115" spans="1:6" x14ac:dyDescent="0.2">
      <c r="A1115" s="46"/>
      <c r="B1115" s="6"/>
      <c r="C1115" s="6"/>
      <c r="D1115" s="6"/>
      <c r="E1115" s="6"/>
      <c r="F1115" s="6"/>
    </row>
    <row r="1116" spans="1:6" x14ac:dyDescent="0.2">
      <c r="A1116" s="46"/>
      <c r="B1116" s="6"/>
      <c r="C1116" s="6"/>
      <c r="D1116" s="6"/>
      <c r="E1116" s="6"/>
      <c r="F1116" s="6"/>
    </row>
    <row r="1117" spans="1:6" x14ac:dyDescent="0.2">
      <c r="A1117" s="46"/>
      <c r="B1117" s="6"/>
      <c r="C1117" s="6"/>
      <c r="D1117" s="6"/>
      <c r="E1117" s="6"/>
      <c r="F1117" s="6"/>
    </row>
    <row r="1118" spans="1:6" x14ac:dyDescent="0.2">
      <c r="A1118" s="46"/>
      <c r="B1118" s="6"/>
      <c r="C1118" s="6"/>
      <c r="D1118" s="6"/>
      <c r="E1118" s="6"/>
      <c r="F1118" s="6"/>
    </row>
    <row r="1119" spans="1:6" x14ac:dyDescent="0.2">
      <c r="A1119" s="46"/>
      <c r="B1119" s="6"/>
      <c r="C1119" s="6"/>
      <c r="D1119" s="6"/>
      <c r="E1119" s="6"/>
      <c r="F1119" s="6"/>
    </row>
    <row r="1120" spans="1:6" x14ac:dyDescent="0.2">
      <c r="A1120" s="46"/>
      <c r="B1120" s="6"/>
      <c r="C1120" s="6"/>
      <c r="D1120" s="6"/>
      <c r="E1120" s="6"/>
      <c r="F1120" s="6"/>
    </row>
    <row r="1121" spans="1:6" x14ac:dyDescent="0.2">
      <c r="A1121" s="46"/>
      <c r="B1121" s="6"/>
      <c r="C1121" s="6"/>
      <c r="D1121" s="6"/>
      <c r="E1121" s="6"/>
      <c r="F1121" s="6"/>
    </row>
    <row r="1122" spans="1:6" x14ac:dyDescent="0.2">
      <c r="A1122" s="46"/>
      <c r="B1122" s="6"/>
      <c r="C1122" s="6"/>
      <c r="D1122" s="6"/>
      <c r="E1122" s="6"/>
      <c r="F1122" s="6"/>
    </row>
    <row r="1123" spans="1:6" x14ac:dyDescent="0.2">
      <c r="A1123" s="46"/>
      <c r="B1123" s="6"/>
      <c r="C1123" s="6"/>
      <c r="D1123" s="6"/>
      <c r="E1123" s="6"/>
      <c r="F1123" s="6"/>
    </row>
    <row r="1124" spans="1:6" x14ac:dyDescent="0.2">
      <c r="A1124" s="46"/>
      <c r="B1124" s="6"/>
      <c r="C1124" s="6"/>
      <c r="D1124" s="6"/>
      <c r="E1124" s="6"/>
      <c r="F1124" s="6"/>
    </row>
    <row r="1125" spans="1:6" x14ac:dyDescent="0.2">
      <c r="A1125" s="46"/>
      <c r="B1125" s="6"/>
      <c r="C1125" s="6"/>
      <c r="D1125" s="6"/>
      <c r="E1125" s="6"/>
      <c r="F1125" s="6"/>
    </row>
    <row r="1126" spans="1:6" x14ac:dyDescent="0.2">
      <c r="A1126" s="46"/>
      <c r="B1126" s="6"/>
      <c r="C1126" s="6"/>
      <c r="D1126" s="6"/>
      <c r="E1126" s="6"/>
      <c r="F1126" s="6"/>
    </row>
    <row r="1127" spans="1:6" x14ac:dyDescent="0.2">
      <c r="A1127" s="46"/>
      <c r="B1127" s="6"/>
      <c r="C1127" s="6"/>
      <c r="D1127" s="6"/>
      <c r="E1127" s="6"/>
      <c r="F1127" s="6"/>
    </row>
    <row r="1128" spans="1:6" x14ac:dyDescent="0.2">
      <c r="A1128" s="46"/>
      <c r="B1128" s="6"/>
      <c r="C1128" s="6"/>
      <c r="D1128" s="6"/>
      <c r="E1128" s="6"/>
      <c r="F1128" s="6"/>
    </row>
    <row r="1129" spans="1:6" x14ac:dyDescent="0.2">
      <c r="A1129" s="46"/>
      <c r="B1129" s="6"/>
      <c r="C1129" s="6"/>
      <c r="D1129" s="6"/>
      <c r="E1129" s="6"/>
      <c r="F1129" s="6"/>
    </row>
    <row r="1130" spans="1:6" x14ac:dyDescent="0.2">
      <c r="A1130" s="46"/>
      <c r="B1130" s="6"/>
      <c r="C1130" s="6"/>
      <c r="D1130" s="6"/>
      <c r="E1130" s="6"/>
      <c r="F1130" s="6"/>
    </row>
    <row r="1131" spans="1:6" x14ac:dyDescent="0.2">
      <c r="A1131" s="46"/>
      <c r="B1131" s="6"/>
      <c r="C1131" s="6"/>
      <c r="D1131" s="6"/>
      <c r="E1131" s="6"/>
      <c r="F1131" s="6"/>
    </row>
    <row r="1132" spans="1:6" x14ac:dyDescent="0.2">
      <c r="A1132" s="46"/>
      <c r="B1132" s="6"/>
      <c r="C1132" s="6"/>
      <c r="D1132" s="6"/>
      <c r="E1132" s="6"/>
      <c r="F1132" s="6"/>
    </row>
    <row r="1133" spans="1:6" x14ac:dyDescent="0.2">
      <c r="A1133" s="46"/>
      <c r="B1133" s="6"/>
      <c r="C1133" s="6"/>
      <c r="D1133" s="6"/>
      <c r="E1133" s="6"/>
      <c r="F1133" s="6"/>
    </row>
    <row r="1134" spans="1:6" x14ac:dyDescent="0.2">
      <c r="A1134" s="46"/>
      <c r="B1134" s="6"/>
      <c r="C1134" s="6"/>
      <c r="D1134" s="6"/>
      <c r="E1134" s="6"/>
      <c r="F1134" s="6"/>
    </row>
    <row r="1135" spans="1:6" x14ac:dyDescent="0.2">
      <c r="A1135" s="46"/>
      <c r="B1135" s="6"/>
      <c r="C1135" s="6"/>
      <c r="D1135" s="6"/>
      <c r="E1135" s="6"/>
      <c r="F1135" s="6"/>
    </row>
    <row r="1136" spans="1:6" x14ac:dyDescent="0.2">
      <c r="A1136" s="46"/>
      <c r="B1136" s="6"/>
      <c r="C1136" s="6"/>
      <c r="D1136" s="6"/>
      <c r="E1136" s="6"/>
      <c r="F1136" s="6"/>
    </row>
    <row r="1137" spans="1:6" x14ac:dyDescent="0.2">
      <c r="A1137" s="46"/>
      <c r="B1137" s="6"/>
      <c r="C1137" s="6"/>
      <c r="D1137" s="6"/>
      <c r="E1137" s="6"/>
      <c r="F1137" s="6"/>
    </row>
    <row r="1138" spans="1:6" x14ac:dyDescent="0.2">
      <c r="A1138" s="46"/>
      <c r="B1138" s="6"/>
      <c r="C1138" s="6"/>
      <c r="D1138" s="6"/>
      <c r="E1138" s="6"/>
      <c r="F1138" s="6"/>
    </row>
    <row r="1139" spans="1:6" x14ac:dyDescent="0.2">
      <c r="A1139" s="46"/>
      <c r="B1139" s="6"/>
      <c r="C1139" s="6"/>
      <c r="D1139" s="6"/>
      <c r="E1139" s="6"/>
      <c r="F1139" s="6"/>
    </row>
    <row r="1140" spans="1:6" x14ac:dyDescent="0.2">
      <c r="A1140" s="46"/>
      <c r="B1140" s="6"/>
      <c r="C1140" s="6"/>
      <c r="D1140" s="6"/>
      <c r="E1140" s="6"/>
      <c r="F1140" s="6"/>
    </row>
    <row r="1141" spans="1:6" x14ac:dyDescent="0.2">
      <c r="A1141" s="46"/>
      <c r="B1141" s="6"/>
      <c r="C1141" s="6"/>
      <c r="D1141" s="6"/>
      <c r="E1141" s="6"/>
      <c r="F1141" s="6"/>
    </row>
  </sheetData>
  <autoFilter ref="A8:I1014"/>
  <mergeCells count="5">
    <mergeCell ref="A1:I1"/>
    <mergeCell ref="A2:I2"/>
    <mergeCell ref="A3:I3"/>
    <mergeCell ref="A5:I5"/>
    <mergeCell ref="A7:I7"/>
  </mergeCells>
  <pageMargins left="0.59055118110236227" right="0.39370078740157483" top="0.59055118110236227" bottom="0.39370078740157483" header="0" footer="0"/>
  <pageSetup paperSize="9" scale="86" orientation="landscape" useFirstPageNumber="1" r:id="rId1"/>
  <headerFooter alignWithMargins="0">
    <oddFooter>&amp;C&amp;P</oddFooter>
  </headerFooter>
  <rowBreaks count="5" manualBreakCount="5">
    <brk id="37" max="8" man="1"/>
    <brk id="108" max="8" man="1"/>
    <brk id="142" max="8" man="1"/>
    <brk id="729" max="8" man="1"/>
    <brk id="89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H962"/>
  <sheetViews>
    <sheetView view="pageBreakPreview" zoomScale="130" zoomScaleNormal="130" zoomScaleSheetLayoutView="130" workbookViewId="0">
      <selection activeCell="A809" sqref="A809"/>
    </sheetView>
  </sheetViews>
  <sheetFormatPr defaultRowHeight="12.75" x14ac:dyDescent="0.2"/>
  <cols>
    <col min="1" max="1" width="87" style="1" customWidth="1"/>
    <col min="2" max="3" width="7.5703125" style="15" customWidth="1"/>
    <col min="4" max="4" width="13.42578125" style="15" customWidth="1"/>
    <col min="5" max="5" width="9.42578125" style="15" customWidth="1"/>
    <col min="6" max="7" width="14.28515625" style="24" customWidth="1"/>
    <col min="8" max="8" width="10" style="24" customWidth="1"/>
  </cols>
  <sheetData>
    <row r="1" spans="1:8" ht="15" x14ac:dyDescent="0.25">
      <c r="A1" s="220" t="s">
        <v>504</v>
      </c>
      <c r="B1" s="220"/>
      <c r="C1" s="220"/>
      <c r="D1" s="220"/>
      <c r="E1" s="220"/>
      <c r="F1" s="220"/>
      <c r="G1" s="220"/>
      <c r="H1" s="220"/>
    </row>
    <row r="2" spans="1:8" ht="15" x14ac:dyDescent="0.25">
      <c r="A2" s="220" t="s">
        <v>833</v>
      </c>
      <c r="B2" s="220"/>
      <c r="C2" s="220"/>
      <c r="D2" s="220"/>
      <c r="E2" s="220"/>
      <c r="F2" s="220"/>
      <c r="G2" s="220"/>
      <c r="H2" s="220"/>
    </row>
    <row r="3" spans="1:8" ht="15" x14ac:dyDescent="0.25">
      <c r="A3" s="220" t="s">
        <v>832</v>
      </c>
      <c r="B3" s="220"/>
      <c r="C3" s="220"/>
      <c r="D3" s="220"/>
      <c r="E3" s="220"/>
      <c r="F3" s="220"/>
      <c r="G3" s="220"/>
      <c r="H3" s="220"/>
    </row>
    <row r="4" spans="1:8" ht="15" x14ac:dyDescent="0.25">
      <c r="A4" s="128"/>
      <c r="B4" s="128"/>
      <c r="C4" s="128"/>
      <c r="D4" s="128"/>
      <c r="E4" s="128"/>
      <c r="F4" s="128"/>
      <c r="G4" s="128"/>
      <c r="H4" s="128"/>
    </row>
    <row r="5" spans="1:8" ht="59.25" customHeight="1" x14ac:dyDescent="0.2">
      <c r="A5" s="223" t="s">
        <v>634</v>
      </c>
      <c r="B5" s="223"/>
      <c r="C5" s="223"/>
      <c r="D5" s="223"/>
      <c r="E5" s="223"/>
      <c r="F5" s="223"/>
      <c r="G5" s="223"/>
      <c r="H5" s="223"/>
    </row>
    <row r="6" spans="1:8" x14ac:dyDescent="0.2">
      <c r="A6" s="224" t="s">
        <v>588</v>
      </c>
      <c r="B6" s="224"/>
      <c r="C6" s="224"/>
      <c r="D6" s="224"/>
      <c r="E6" s="224"/>
      <c r="F6" s="224"/>
      <c r="G6" s="224"/>
      <c r="H6" s="224"/>
    </row>
    <row r="7" spans="1:8" ht="36" x14ac:dyDescent="0.2">
      <c r="A7" s="57" t="s">
        <v>195</v>
      </c>
      <c r="B7" s="57" t="s">
        <v>102</v>
      </c>
      <c r="C7" s="57" t="s">
        <v>101</v>
      </c>
      <c r="D7" s="57" t="s">
        <v>196</v>
      </c>
      <c r="E7" s="57" t="s">
        <v>516</v>
      </c>
      <c r="F7" s="57" t="s">
        <v>636</v>
      </c>
      <c r="G7" s="131" t="s">
        <v>637</v>
      </c>
      <c r="H7" s="3" t="s">
        <v>635</v>
      </c>
    </row>
    <row r="8" spans="1:8" ht="15.75" x14ac:dyDescent="0.2">
      <c r="A8" s="117" t="s">
        <v>197</v>
      </c>
      <c r="B8" s="14"/>
      <c r="C8" s="14"/>
      <c r="D8" s="14"/>
      <c r="E8" s="14"/>
      <c r="F8" s="84">
        <f>F9+F188+F200+F315+F498+F644+F710+F752+F784+F800+F492</f>
        <v>5384342.9679099992</v>
      </c>
      <c r="G8" s="84">
        <f>G9+G188+G200+G315+G498+G644+G710+G752+G784+G800+G492</f>
        <v>5096037.8794299997</v>
      </c>
      <c r="H8" s="84">
        <f>G8/F8*100</f>
        <v>94.645491748979197</v>
      </c>
    </row>
    <row r="9" spans="1:8" s="24" customFormat="1" x14ac:dyDescent="0.2">
      <c r="A9" s="54" t="s">
        <v>198</v>
      </c>
      <c r="B9" s="16" t="s">
        <v>165</v>
      </c>
      <c r="C9" s="16" t="s">
        <v>166</v>
      </c>
      <c r="D9" s="16"/>
      <c r="E9" s="16"/>
      <c r="F9" s="27">
        <f>F10+F17+F28+F50+F56+F85+F91+F80</f>
        <v>294305.30596000003</v>
      </c>
      <c r="G9" s="27">
        <f>G10+G17+G28+G50+G56+G85+G91+G80</f>
        <v>279822.88400000002</v>
      </c>
      <c r="H9" s="27">
        <f>G9/F9*100</f>
        <v>95.079116255563406</v>
      </c>
    </row>
    <row r="10" spans="1:8" s="24" customFormat="1" ht="24" x14ac:dyDescent="0.2">
      <c r="A10" s="64" t="s">
        <v>585</v>
      </c>
      <c r="B10" s="16" t="s">
        <v>165</v>
      </c>
      <c r="C10" s="16" t="s">
        <v>599</v>
      </c>
      <c r="D10" s="16"/>
      <c r="E10" s="16"/>
      <c r="F10" s="32">
        <f t="shared" ref="F10:G15" si="0">F11</f>
        <v>1732.4</v>
      </c>
      <c r="G10" s="32">
        <f t="shared" si="0"/>
        <v>1719.9760000000001</v>
      </c>
      <c r="H10" s="32">
        <f>G10/F10*100</f>
        <v>99.282844608635429</v>
      </c>
    </row>
    <row r="11" spans="1:8" s="24" customFormat="1" x14ac:dyDescent="0.2">
      <c r="A11" s="67" t="s">
        <v>103</v>
      </c>
      <c r="B11" s="17" t="s">
        <v>165</v>
      </c>
      <c r="C11" s="17" t="s">
        <v>599</v>
      </c>
      <c r="D11" s="17" t="s">
        <v>299</v>
      </c>
      <c r="E11" s="17"/>
      <c r="F11" s="35">
        <f t="shared" si="0"/>
        <v>1732.4</v>
      </c>
      <c r="G11" s="35">
        <f t="shared" si="0"/>
        <v>1719.9760000000001</v>
      </c>
      <c r="H11" s="35">
        <f t="shared" ref="H11:H74" si="1">G11/F11*100</f>
        <v>99.282844608635429</v>
      </c>
    </row>
    <row r="12" spans="1:8" s="24" customFormat="1" x14ac:dyDescent="0.2">
      <c r="A12" s="64" t="s">
        <v>193</v>
      </c>
      <c r="B12" s="16" t="s">
        <v>165</v>
      </c>
      <c r="C12" s="16" t="s">
        <v>599</v>
      </c>
      <c r="D12" s="16" t="s">
        <v>300</v>
      </c>
      <c r="E12" s="16"/>
      <c r="F12" s="32">
        <f t="shared" si="0"/>
        <v>1732.4</v>
      </c>
      <c r="G12" s="32">
        <f t="shared" si="0"/>
        <v>1719.9760000000001</v>
      </c>
      <c r="H12" s="32">
        <f t="shared" si="1"/>
        <v>99.282844608635429</v>
      </c>
    </row>
    <row r="13" spans="1:8" s="24" customFormat="1" x14ac:dyDescent="0.2">
      <c r="A13" s="69" t="s">
        <v>393</v>
      </c>
      <c r="B13" s="25" t="s">
        <v>165</v>
      </c>
      <c r="C13" s="25" t="s">
        <v>599</v>
      </c>
      <c r="D13" s="25" t="s">
        <v>301</v>
      </c>
      <c r="E13" s="22"/>
      <c r="F13" s="85">
        <f t="shared" si="0"/>
        <v>1732.4</v>
      </c>
      <c r="G13" s="85">
        <f t="shared" si="0"/>
        <v>1719.9760000000001</v>
      </c>
      <c r="H13" s="85">
        <f t="shared" si="1"/>
        <v>99.282844608635429</v>
      </c>
    </row>
    <row r="14" spans="1:8" s="24" customFormat="1" x14ac:dyDescent="0.2">
      <c r="A14" s="60" t="s">
        <v>100</v>
      </c>
      <c r="B14" s="72" t="s">
        <v>165</v>
      </c>
      <c r="C14" s="72" t="s">
        <v>599</v>
      </c>
      <c r="D14" s="72" t="s">
        <v>302</v>
      </c>
      <c r="E14" s="73"/>
      <c r="F14" s="32">
        <f t="shared" si="0"/>
        <v>1732.4</v>
      </c>
      <c r="G14" s="32">
        <f t="shared" si="0"/>
        <v>1719.9760000000001</v>
      </c>
      <c r="H14" s="32">
        <f t="shared" si="1"/>
        <v>99.282844608635429</v>
      </c>
    </row>
    <row r="15" spans="1:8" s="24" customFormat="1" ht="24" x14ac:dyDescent="0.2">
      <c r="A15" s="68" t="s">
        <v>168</v>
      </c>
      <c r="B15" s="22" t="s">
        <v>165</v>
      </c>
      <c r="C15" s="22" t="s">
        <v>599</v>
      </c>
      <c r="D15" s="22" t="s">
        <v>303</v>
      </c>
      <c r="E15" s="22" t="s">
        <v>169</v>
      </c>
      <c r="F15" s="31">
        <f t="shared" si="0"/>
        <v>1732.4</v>
      </c>
      <c r="G15" s="31">
        <f t="shared" si="0"/>
        <v>1719.9760000000001</v>
      </c>
      <c r="H15" s="31">
        <f t="shared" si="1"/>
        <v>99.282844608635429</v>
      </c>
    </row>
    <row r="16" spans="1:8" s="24" customFormat="1" x14ac:dyDescent="0.2">
      <c r="A16" s="68" t="s">
        <v>170</v>
      </c>
      <c r="B16" s="22" t="s">
        <v>165</v>
      </c>
      <c r="C16" s="22" t="s">
        <v>599</v>
      </c>
      <c r="D16" s="22" t="s">
        <v>303</v>
      </c>
      <c r="E16" s="22" t="s">
        <v>173</v>
      </c>
      <c r="F16" s="31">
        <f>1946-213.6</f>
        <v>1732.4</v>
      </c>
      <c r="G16" s="31">
        <v>1719.9760000000001</v>
      </c>
      <c r="H16" s="31">
        <f t="shared" si="1"/>
        <v>99.282844608635429</v>
      </c>
    </row>
    <row r="17" spans="1:8" s="24" customFormat="1" ht="24" x14ac:dyDescent="0.2">
      <c r="A17" s="64" t="s">
        <v>396</v>
      </c>
      <c r="B17" s="16" t="s">
        <v>165</v>
      </c>
      <c r="C17" s="16" t="s">
        <v>591</v>
      </c>
      <c r="D17" s="16"/>
      <c r="E17" s="16"/>
      <c r="F17" s="32">
        <f>F18+F23</f>
        <v>23160.6</v>
      </c>
      <c r="G17" s="32">
        <f>G18+G23</f>
        <v>22533.329000000002</v>
      </c>
      <c r="H17" s="32">
        <f t="shared" si="1"/>
        <v>97.291646157698864</v>
      </c>
    </row>
    <row r="18" spans="1:8" s="24" customFormat="1" ht="13.5" x14ac:dyDescent="0.2">
      <c r="A18" s="67" t="s">
        <v>99</v>
      </c>
      <c r="B18" s="17" t="s">
        <v>165</v>
      </c>
      <c r="C18" s="17" t="s">
        <v>591</v>
      </c>
      <c r="D18" s="55" t="s">
        <v>304</v>
      </c>
      <c r="E18" s="48"/>
      <c r="F18" s="35">
        <f t="shared" ref="F18:G21" si="2">F19</f>
        <v>19080.599999999999</v>
      </c>
      <c r="G18" s="35">
        <f t="shared" si="2"/>
        <v>18924.2</v>
      </c>
      <c r="H18" s="32">
        <f t="shared" si="1"/>
        <v>99.180319277171591</v>
      </c>
    </row>
    <row r="19" spans="1:8" s="24" customFormat="1" x14ac:dyDescent="0.2">
      <c r="A19" s="64" t="s">
        <v>193</v>
      </c>
      <c r="B19" s="16" t="s">
        <v>165</v>
      </c>
      <c r="C19" s="16" t="s">
        <v>591</v>
      </c>
      <c r="D19" s="81" t="s">
        <v>218</v>
      </c>
      <c r="E19" s="28"/>
      <c r="F19" s="32">
        <f t="shared" si="2"/>
        <v>19080.599999999999</v>
      </c>
      <c r="G19" s="32">
        <f t="shared" si="2"/>
        <v>18924.2</v>
      </c>
      <c r="H19" s="32">
        <f t="shared" si="1"/>
        <v>99.180319277171591</v>
      </c>
    </row>
    <row r="20" spans="1:8" s="24" customFormat="1" x14ac:dyDescent="0.2">
      <c r="A20" s="60" t="s">
        <v>100</v>
      </c>
      <c r="B20" s="72" t="s">
        <v>165</v>
      </c>
      <c r="C20" s="72" t="s">
        <v>591</v>
      </c>
      <c r="D20" s="72" t="s">
        <v>308</v>
      </c>
      <c r="E20" s="73"/>
      <c r="F20" s="32">
        <f t="shared" si="2"/>
        <v>19080.599999999999</v>
      </c>
      <c r="G20" s="32">
        <f t="shared" si="2"/>
        <v>18924.2</v>
      </c>
      <c r="H20" s="32">
        <f t="shared" si="1"/>
        <v>99.180319277171591</v>
      </c>
    </row>
    <row r="21" spans="1:8" s="24" customFormat="1" ht="24" x14ac:dyDescent="0.2">
      <c r="A21" s="68" t="s">
        <v>168</v>
      </c>
      <c r="B21" s="22" t="s">
        <v>165</v>
      </c>
      <c r="C21" s="22" t="s">
        <v>591</v>
      </c>
      <c r="D21" s="22" t="s">
        <v>308</v>
      </c>
      <c r="E21" s="22" t="s">
        <v>169</v>
      </c>
      <c r="F21" s="31">
        <f t="shared" si="2"/>
        <v>19080.599999999999</v>
      </c>
      <c r="G21" s="31">
        <f t="shared" si="2"/>
        <v>18924.2</v>
      </c>
      <c r="H21" s="31">
        <f t="shared" si="1"/>
        <v>99.180319277171591</v>
      </c>
    </row>
    <row r="22" spans="1:8" s="24" customFormat="1" x14ac:dyDescent="0.2">
      <c r="A22" s="68" t="s">
        <v>170</v>
      </c>
      <c r="B22" s="22" t="s">
        <v>165</v>
      </c>
      <c r="C22" s="22" t="s">
        <v>591</v>
      </c>
      <c r="D22" s="22" t="s">
        <v>308</v>
      </c>
      <c r="E22" s="22" t="s">
        <v>173</v>
      </c>
      <c r="F22" s="31">
        <f>14008+700+4359-200+213.6</f>
        <v>19080.599999999999</v>
      </c>
      <c r="G22" s="31">
        <v>18924.2</v>
      </c>
      <c r="H22" s="31">
        <f t="shared" si="1"/>
        <v>99.180319277171591</v>
      </c>
    </row>
    <row r="23" spans="1:8" s="24" customFormat="1" x14ac:dyDescent="0.2">
      <c r="A23" s="64" t="s">
        <v>226</v>
      </c>
      <c r="B23" s="16" t="s">
        <v>165</v>
      </c>
      <c r="C23" s="16" t="s">
        <v>591</v>
      </c>
      <c r="D23" s="16" t="s">
        <v>309</v>
      </c>
      <c r="E23" s="22"/>
      <c r="F23" s="32">
        <f>F24+F26</f>
        <v>4080</v>
      </c>
      <c r="G23" s="32">
        <f>G24+G26</f>
        <v>3609.1290000000004</v>
      </c>
      <c r="H23" s="32">
        <f t="shared" si="1"/>
        <v>88.459044117647068</v>
      </c>
    </row>
    <row r="24" spans="1:8" s="24" customFormat="1" x14ac:dyDescent="0.2">
      <c r="A24" s="68" t="s">
        <v>378</v>
      </c>
      <c r="B24" s="22" t="s">
        <v>165</v>
      </c>
      <c r="C24" s="22" t="s">
        <v>591</v>
      </c>
      <c r="D24" s="22" t="s">
        <v>309</v>
      </c>
      <c r="E24" s="22" t="s">
        <v>175</v>
      </c>
      <c r="F24" s="31">
        <f>F25</f>
        <v>4055</v>
      </c>
      <c r="G24" s="31">
        <f>G25</f>
        <v>3600.8690000000001</v>
      </c>
      <c r="H24" s="31">
        <f t="shared" si="1"/>
        <v>88.80071516646116</v>
      </c>
    </row>
    <row r="25" spans="1:8" s="24" customFormat="1" x14ac:dyDescent="0.2">
      <c r="A25" s="68" t="s">
        <v>176</v>
      </c>
      <c r="B25" s="22" t="s">
        <v>165</v>
      </c>
      <c r="C25" s="22" t="s">
        <v>591</v>
      </c>
      <c r="D25" s="22" t="s">
        <v>309</v>
      </c>
      <c r="E25" s="22" t="s">
        <v>177</v>
      </c>
      <c r="F25" s="31">
        <f>3755+200+100</f>
        <v>4055</v>
      </c>
      <c r="G25" s="31">
        <v>3600.8690000000001</v>
      </c>
      <c r="H25" s="31">
        <f t="shared" si="1"/>
        <v>88.80071516646116</v>
      </c>
    </row>
    <row r="26" spans="1:8" s="24" customFormat="1" x14ac:dyDescent="0.2">
      <c r="A26" s="68" t="s">
        <v>178</v>
      </c>
      <c r="B26" s="22" t="s">
        <v>165</v>
      </c>
      <c r="C26" s="22" t="s">
        <v>591</v>
      </c>
      <c r="D26" s="22" t="s">
        <v>309</v>
      </c>
      <c r="E26" s="22" t="s">
        <v>179</v>
      </c>
      <c r="F26" s="31">
        <f>F27</f>
        <v>25</v>
      </c>
      <c r="G26" s="31">
        <f>G27</f>
        <v>8.26</v>
      </c>
      <c r="H26" s="31">
        <f t="shared" si="1"/>
        <v>33.04</v>
      </c>
    </row>
    <row r="27" spans="1:8" s="24" customFormat="1" x14ac:dyDescent="0.2">
      <c r="A27" s="68" t="s">
        <v>87</v>
      </c>
      <c r="B27" s="22" t="s">
        <v>165</v>
      </c>
      <c r="C27" s="22" t="s">
        <v>591</v>
      </c>
      <c r="D27" s="22" t="s">
        <v>309</v>
      </c>
      <c r="E27" s="22" t="s">
        <v>180</v>
      </c>
      <c r="F27" s="31">
        <v>25</v>
      </c>
      <c r="G27" s="31">
        <v>8.26</v>
      </c>
      <c r="H27" s="31">
        <f t="shared" si="1"/>
        <v>33.04</v>
      </c>
    </row>
    <row r="28" spans="1:8" s="24" customFormat="1" ht="24" x14ac:dyDescent="0.2">
      <c r="A28" s="54" t="s">
        <v>397</v>
      </c>
      <c r="B28" s="16" t="s">
        <v>165</v>
      </c>
      <c r="C28" s="16" t="s">
        <v>167</v>
      </c>
      <c r="D28" s="16"/>
      <c r="E28" s="16"/>
      <c r="F28" s="27">
        <f>F29+F35</f>
        <v>130384.83621000001</v>
      </c>
      <c r="G28" s="27">
        <f>G29+G35</f>
        <v>125394.708</v>
      </c>
      <c r="H28" s="32">
        <f t="shared" si="1"/>
        <v>96.172769506752445</v>
      </c>
    </row>
    <row r="29" spans="1:8" s="24" customFormat="1" x14ac:dyDescent="0.2">
      <c r="A29" s="65" t="s">
        <v>163</v>
      </c>
      <c r="B29" s="17" t="s">
        <v>165</v>
      </c>
      <c r="C29" s="17" t="s">
        <v>167</v>
      </c>
      <c r="D29" s="17" t="s">
        <v>290</v>
      </c>
      <c r="E29" s="17"/>
      <c r="F29" s="35">
        <f t="shared" ref="F29:G33" si="3">F30</f>
        <v>1516.2040500000001</v>
      </c>
      <c r="G29" s="35">
        <f t="shared" si="3"/>
        <v>1463.7080000000001</v>
      </c>
      <c r="H29" s="32">
        <f t="shared" si="1"/>
        <v>96.537665890023177</v>
      </c>
    </row>
    <row r="30" spans="1:8" s="24" customFormat="1" x14ac:dyDescent="0.2">
      <c r="A30" s="66" t="s">
        <v>381</v>
      </c>
      <c r="B30" s="16" t="s">
        <v>165</v>
      </c>
      <c r="C30" s="16" t="s">
        <v>167</v>
      </c>
      <c r="D30" s="16" t="s">
        <v>291</v>
      </c>
      <c r="E30" s="16"/>
      <c r="F30" s="32">
        <f t="shared" si="3"/>
        <v>1516.2040500000001</v>
      </c>
      <c r="G30" s="32">
        <f t="shared" si="3"/>
        <v>1463.7080000000001</v>
      </c>
      <c r="H30" s="32">
        <f t="shared" si="1"/>
        <v>96.537665890023177</v>
      </c>
    </row>
    <row r="31" spans="1:8" s="24" customFormat="1" x14ac:dyDescent="0.2">
      <c r="A31" s="67" t="s">
        <v>398</v>
      </c>
      <c r="B31" s="17" t="s">
        <v>165</v>
      </c>
      <c r="C31" s="17" t="s">
        <v>167</v>
      </c>
      <c r="D31" s="17" t="s">
        <v>291</v>
      </c>
      <c r="E31" s="25"/>
      <c r="F31" s="85">
        <f t="shared" si="3"/>
        <v>1516.2040500000001</v>
      </c>
      <c r="G31" s="85">
        <f t="shared" si="3"/>
        <v>1463.7080000000001</v>
      </c>
      <c r="H31" s="85">
        <f t="shared" si="1"/>
        <v>96.537665890023177</v>
      </c>
    </row>
    <row r="32" spans="1:8" s="24" customFormat="1" x14ac:dyDescent="0.2">
      <c r="A32" s="66" t="s">
        <v>380</v>
      </c>
      <c r="B32" s="16" t="s">
        <v>165</v>
      </c>
      <c r="C32" s="16" t="s">
        <v>167</v>
      </c>
      <c r="D32" s="16" t="s">
        <v>292</v>
      </c>
      <c r="E32" s="16"/>
      <c r="F32" s="32">
        <f t="shared" si="3"/>
        <v>1516.2040500000001</v>
      </c>
      <c r="G32" s="32">
        <f t="shared" si="3"/>
        <v>1463.7080000000001</v>
      </c>
      <c r="H32" s="32">
        <f t="shared" si="1"/>
        <v>96.537665890023177</v>
      </c>
    </row>
    <row r="33" spans="1:8" s="24" customFormat="1" ht="24" x14ac:dyDescent="0.2">
      <c r="A33" s="68" t="s">
        <v>168</v>
      </c>
      <c r="B33" s="22" t="s">
        <v>165</v>
      </c>
      <c r="C33" s="22" t="s">
        <v>167</v>
      </c>
      <c r="D33" s="22" t="s">
        <v>292</v>
      </c>
      <c r="E33" s="22" t="s">
        <v>169</v>
      </c>
      <c r="F33" s="31">
        <f t="shared" si="3"/>
        <v>1516.2040500000001</v>
      </c>
      <c r="G33" s="31">
        <f t="shared" si="3"/>
        <v>1463.7080000000001</v>
      </c>
      <c r="H33" s="31">
        <f t="shared" si="1"/>
        <v>96.537665890023177</v>
      </c>
    </row>
    <row r="34" spans="1:8" s="24" customFormat="1" x14ac:dyDescent="0.2">
      <c r="A34" s="68" t="s">
        <v>170</v>
      </c>
      <c r="B34" s="22" t="s">
        <v>165</v>
      </c>
      <c r="C34" s="22" t="s">
        <v>167</v>
      </c>
      <c r="D34" s="22" t="s">
        <v>292</v>
      </c>
      <c r="E34" s="22" t="s">
        <v>173</v>
      </c>
      <c r="F34" s="31">
        <f>1800-328+44.20405</f>
        <v>1516.2040500000001</v>
      </c>
      <c r="G34" s="31">
        <v>1463.7080000000001</v>
      </c>
      <c r="H34" s="31">
        <f t="shared" si="1"/>
        <v>96.537665890023177</v>
      </c>
    </row>
    <row r="35" spans="1:8" s="24" customFormat="1" x14ac:dyDescent="0.2">
      <c r="A35" s="65" t="s">
        <v>163</v>
      </c>
      <c r="B35" s="17" t="s">
        <v>165</v>
      </c>
      <c r="C35" s="17" t="s">
        <v>167</v>
      </c>
      <c r="D35" s="17" t="s">
        <v>293</v>
      </c>
      <c r="E35" s="17"/>
      <c r="F35" s="35">
        <f>F36</f>
        <v>128868.63216000001</v>
      </c>
      <c r="G35" s="35">
        <f>G36</f>
        <v>123931</v>
      </c>
      <c r="H35" s="35">
        <f t="shared" si="1"/>
        <v>96.168476317906766</v>
      </c>
    </row>
    <row r="36" spans="1:8" s="24" customFormat="1" x14ac:dyDescent="0.2">
      <c r="A36" s="66" t="s">
        <v>381</v>
      </c>
      <c r="B36" s="16" t="s">
        <v>165</v>
      </c>
      <c r="C36" s="16" t="s">
        <v>167</v>
      </c>
      <c r="D36" s="16" t="s">
        <v>294</v>
      </c>
      <c r="E36" s="17"/>
      <c r="F36" s="32">
        <f>F37+F42+F47</f>
        <v>128868.63216000001</v>
      </c>
      <c r="G36" s="32">
        <f>G37+G42+G47</f>
        <v>123931</v>
      </c>
      <c r="H36" s="32">
        <f t="shared" si="1"/>
        <v>96.168476317906766</v>
      </c>
    </row>
    <row r="37" spans="1:8" s="24" customFormat="1" x14ac:dyDescent="0.2">
      <c r="A37" s="66" t="s">
        <v>96</v>
      </c>
      <c r="B37" s="16" t="s">
        <v>165</v>
      </c>
      <c r="C37" s="16" t="s">
        <v>167</v>
      </c>
      <c r="D37" s="16" t="s">
        <v>295</v>
      </c>
      <c r="E37" s="16"/>
      <c r="F37" s="32">
        <f>F38+F40</f>
        <v>104706.05495000001</v>
      </c>
      <c r="G37" s="32">
        <f>G38+G40</f>
        <v>103420.16</v>
      </c>
      <c r="H37" s="32">
        <f t="shared" si="1"/>
        <v>98.77190010585916</v>
      </c>
    </row>
    <row r="38" spans="1:8" s="24" customFormat="1" ht="24" x14ac:dyDescent="0.2">
      <c r="A38" s="68" t="s">
        <v>168</v>
      </c>
      <c r="B38" s="22" t="s">
        <v>165</v>
      </c>
      <c r="C38" s="22" t="s">
        <v>167</v>
      </c>
      <c r="D38" s="22" t="s">
        <v>295</v>
      </c>
      <c r="E38" s="22" t="s">
        <v>169</v>
      </c>
      <c r="F38" s="31">
        <f>F39</f>
        <v>104512.65291</v>
      </c>
      <c r="G38" s="31">
        <f>G39</f>
        <v>103226.758</v>
      </c>
      <c r="H38" s="31">
        <f t="shared" si="1"/>
        <v>98.769627529111389</v>
      </c>
    </row>
    <row r="39" spans="1:8" s="24" customFormat="1" x14ac:dyDescent="0.2">
      <c r="A39" s="68" t="s">
        <v>170</v>
      </c>
      <c r="B39" s="22" t="s">
        <v>165</v>
      </c>
      <c r="C39" s="22" t="s">
        <v>167</v>
      </c>
      <c r="D39" s="22" t="s">
        <v>295</v>
      </c>
      <c r="E39" s="22" t="s">
        <v>173</v>
      </c>
      <c r="F39" s="31">
        <f>102347.2-62-20+328+900+28.59796+464.031+1571.028-500-500-44.20405</f>
        <v>104512.65291</v>
      </c>
      <c r="G39" s="31">
        <v>103226.758</v>
      </c>
      <c r="H39" s="31">
        <f t="shared" si="1"/>
        <v>98.769627529111389</v>
      </c>
    </row>
    <row r="40" spans="1:8" s="24" customFormat="1" x14ac:dyDescent="0.2">
      <c r="A40" s="68" t="s">
        <v>186</v>
      </c>
      <c r="B40" s="22" t="s">
        <v>165</v>
      </c>
      <c r="C40" s="22" t="s">
        <v>167</v>
      </c>
      <c r="D40" s="22" t="s">
        <v>295</v>
      </c>
      <c r="E40" s="22" t="s">
        <v>185</v>
      </c>
      <c r="F40" s="31">
        <f>F41</f>
        <v>193.40204</v>
      </c>
      <c r="G40" s="31">
        <f>G41</f>
        <v>193.40199999999999</v>
      </c>
      <c r="H40" s="31">
        <f t="shared" si="1"/>
        <v>99.99997931769488</v>
      </c>
    </row>
    <row r="41" spans="1:8" s="24" customFormat="1" x14ac:dyDescent="0.2">
      <c r="A41" s="68" t="s">
        <v>187</v>
      </c>
      <c r="B41" s="22" t="s">
        <v>165</v>
      </c>
      <c r="C41" s="22" t="s">
        <v>167</v>
      </c>
      <c r="D41" s="22" t="s">
        <v>295</v>
      </c>
      <c r="E41" s="22" t="s">
        <v>188</v>
      </c>
      <c r="F41" s="31">
        <f>160+62-28.59796</f>
        <v>193.40204</v>
      </c>
      <c r="G41" s="31">
        <v>193.40199999999999</v>
      </c>
      <c r="H41" s="31">
        <f t="shared" si="1"/>
        <v>99.99997931769488</v>
      </c>
    </row>
    <row r="42" spans="1:8" s="24" customFormat="1" x14ac:dyDescent="0.2">
      <c r="A42" s="64" t="s">
        <v>174</v>
      </c>
      <c r="B42" s="16" t="s">
        <v>165</v>
      </c>
      <c r="C42" s="16" t="s">
        <v>167</v>
      </c>
      <c r="D42" s="16" t="s">
        <v>296</v>
      </c>
      <c r="E42" s="16"/>
      <c r="F42" s="32">
        <f>F43+F45</f>
        <v>22331.960209999997</v>
      </c>
      <c r="G42" s="32">
        <f>G43+G45</f>
        <v>18680.222999999998</v>
      </c>
      <c r="H42" s="32">
        <f t="shared" si="1"/>
        <v>83.647932489308346</v>
      </c>
    </row>
    <row r="43" spans="1:8" s="24" customFormat="1" x14ac:dyDescent="0.2">
      <c r="A43" s="68" t="s">
        <v>378</v>
      </c>
      <c r="B43" s="22" t="s">
        <v>165</v>
      </c>
      <c r="C43" s="22" t="s">
        <v>167</v>
      </c>
      <c r="D43" s="22" t="s">
        <v>296</v>
      </c>
      <c r="E43" s="22" t="s">
        <v>175</v>
      </c>
      <c r="F43" s="31">
        <f>F44</f>
        <v>20884.223999999998</v>
      </c>
      <c r="G43" s="31">
        <f>G44</f>
        <v>17513.945</v>
      </c>
      <c r="H43" s="31">
        <f t="shared" si="1"/>
        <v>83.862081732124693</v>
      </c>
    </row>
    <row r="44" spans="1:8" s="24" customFormat="1" x14ac:dyDescent="0.2">
      <c r="A44" s="68" t="s">
        <v>176</v>
      </c>
      <c r="B44" s="22" t="s">
        <v>165</v>
      </c>
      <c r="C44" s="22" t="s">
        <v>167</v>
      </c>
      <c r="D44" s="22" t="s">
        <v>296</v>
      </c>
      <c r="E44" s="22" t="s">
        <v>177</v>
      </c>
      <c r="F44" s="31">
        <v>20884.223999999998</v>
      </c>
      <c r="G44" s="31">
        <v>17513.945</v>
      </c>
      <c r="H44" s="31">
        <f t="shared" si="1"/>
        <v>83.862081732124693</v>
      </c>
    </row>
    <row r="45" spans="1:8" s="24" customFormat="1" x14ac:dyDescent="0.2">
      <c r="A45" s="68" t="s">
        <v>178</v>
      </c>
      <c r="B45" s="22" t="s">
        <v>165</v>
      </c>
      <c r="C45" s="22" t="s">
        <v>167</v>
      </c>
      <c r="D45" s="22" t="s">
        <v>296</v>
      </c>
      <c r="E45" s="22" t="s">
        <v>179</v>
      </c>
      <c r="F45" s="31">
        <f>F46</f>
        <v>1447.73621</v>
      </c>
      <c r="G45" s="31">
        <f>G46</f>
        <v>1166.278</v>
      </c>
      <c r="H45" s="31">
        <f t="shared" si="1"/>
        <v>80.558736594700491</v>
      </c>
    </row>
    <row r="46" spans="1:8" s="24" customFormat="1" x14ac:dyDescent="0.2">
      <c r="A46" s="68" t="s">
        <v>87</v>
      </c>
      <c r="B46" s="22" t="s">
        <v>165</v>
      </c>
      <c r="C46" s="22" t="s">
        <v>167</v>
      </c>
      <c r="D46" s="22" t="s">
        <v>296</v>
      </c>
      <c r="E46" s="22" t="s">
        <v>180</v>
      </c>
      <c r="F46" s="31">
        <f>852+90-8.58371+500+20-5.68008</f>
        <v>1447.73621</v>
      </c>
      <c r="G46" s="31">
        <v>1166.278</v>
      </c>
      <c r="H46" s="31">
        <f t="shared" si="1"/>
        <v>80.558736594700491</v>
      </c>
    </row>
    <row r="47" spans="1:8" s="24" customFormat="1" ht="24" x14ac:dyDescent="0.2">
      <c r="A47" s="64" t="s">
        <v>632</v>
      </c>
      <c r="B47" s="16" t="s">
        <v>165</v>
      </c>
      <c r="C47" s="16" t="s">
        <v>167</v>
      </c>
      <c r="D47" s="16" t="s">
        <v>633</v>
      </c>
      <c r="E47" s="16"/>
      <c r="F47" s="32">
        <f>F48</f>
        <v>1830.6170000000002</v>
      </c>
      <c r="G47" s="32">
        <f>G48</f>
        <v>1830.617</v>
      </c>
      <c r="H47" s="32">
        <f t="shared" si="1"/>
        <v>99.999999999999986</v>
      </c>
    </row>
    <row r="48" spans="1:8" s="24" customFormat="1" ht="24" x14ac:dyDescent="0.2">
      <c r="A48" s="68" t="s">
        <v>168</v>
      </c>
      <c r="B48" s="22" t="s">
        <v>165</v>
      </c>
      <c r="C48" s="22" t="s">
        <v>167</v>
      </c>
      <c r="D48" s="22" t="s">
        <v>633</v>
      </c>
      <c r="E48" s="22" t="s">
        <v>169</v>
      </c>
      <c r="F48" s="31">
        <f>F49</f>
        <v>1830.6170000000002</v>
      </c>
      <c r="G48" s="31">
        <f>G49</f>
        <v>1830.617</v>
      </c>
      <c r="H48" s="31">
        <f t="shared" si="1"/>
        <v>99.999999999999986</v>
      </c>
    </row>
    <row r="49" spans="1:8" s="24" customFormat="1" x14ac:dyDescent="0.2">
      <c r="A49" s="68" t="s">
        <v>170</v>
      </c>
      <c r="B49" s="22" t="s">
        <v>165</v>
      </c>
      <c r="C49" s="22" t="s">
        <v>167</v>
      </c>
      <c r="D49" s="22" t="s">
        <v>633</v>
      </c>
      <c r="E49" s="22" t="s">
        <v>173</v>
      </c>
      <c r="F49" s="31">
        <f>1086.2+252.308+258.631+233.478</f>
        <v>1830.6170000000002</v>
      </c>
      <c r="G49" s="31">
        <v>1830.617</v>
      </c>
      <c r="H49" s="31">
        <f t="shared" si="1"/>
        <v>99.999999999999986</v>
      </c>
    </row>
    <row r="50" spans="1:8" s="24" customFormat="1" x14ac:dyDescent="0.2">
      <c r="A50" s="64" t="s">
        <v>565</v>
      </c>
      <c r="B50" s="16" t="s">
        <v>165</v>
      </c>
      <c r="C50" s="16" t="s">
        <v>542</v>
      </c>
      <c r="D50" s="16"/>
      <c r="E50" s="16"/>
      <c r="F50" s="32">
        <f t="shared" ref="F50:G54" si="4">F51</f>
        <v>183</v>
      </c>
      <c r="G50" s="135">
        <f t="shared" si="4"/>
        <v>0</v>
      </c>
      <c r="H50" s="135">
        <f t="shared" si="1"/>
        <v>0</v>
      </c>
    </row>
    <row r="51" spans="1:8" s="24" customFormat="1" x14ac:dyDescent="0.2">
      <c r="A51" s="65" t="s">
        <v>163</v>
      </c>
      <c r="B51" s="17" t="s">
        <v>165</v>
      </c>
      <c r="C51" s="17" t="s">
        <v>542</v>
      </c>
      <c r="D51" s="17" t="s">
        <v>293</v>
      </c>
      <c r="E51" s="22"/>
      <c r="F51" s="35">
        <f t="shared" si="4"/>
        <v>183</v>
      </c>
      <c r="G51" s="136">
        <f t="shared" si="4"/>
        <v>0</v>
      </c>
      <c r="H51" s="136">
        <f t="shared" si="1"/>
        <v>0</v>
      </c>
    </row>
    <row r="52" spans="1:8" s="24" customFormat="1" x14ac:dyDescent="0.2">
      <c r="A52" s="66" t="s">
        <v>381</v>
      </c>
      <c r="B52" s="16" t="s">
        <v>165</v>
      </c>
      <c r="C52" s="16" t="s">
        <v>542</v>
      </c>
      <c r="D52" s="16" t="s">
        <v>294</v>
      </c>
      <c r="E52" s="22"/>
      <c r="F52" s="32">
        <f t="shared" si="4"/>
        <v>183</v>
      </c>
      <c r="G52" s="135">
        <f t="shared" si="4"/>
        <v>0</v>
      </c>
      <c r="H52" s="135">
        <f t="shared" si="1"/>
        <v>0</v>
      </c>
    </row>
    <row r="53" spans="1:8" s="24" customFormat="1" ht="24" x14ac:dyDescent="0.2">
      <c r="A53" s="64" t="s">
        <v>569</v>
      </c>
      <c r="B53" s="16" t="s">
        <v>165</v>
      </c>
      <c r="C53" s="16" t="s">
        <v>542</v>
      </c>
      <c r="D53" s="16" t="s">
        <v>448</v>
      </c>
      <c r="E53" s="16"/>
      <c r="F53" s="32">
        <f t="shared" si="4"/>
        <v>183</v>
      </c>
      <c r="G53" s="135">
        <f t="shared" si="4"/>
        <v>0</v>
      </c>
      <c r="H53" s="135">
        <f t="shared" si="1"/>
        <v>0</v>
      </c>
    </row>
    <row r="54" spans="1:8" s="24" customFormat="1" x14ac:dyDescent="0.2">
      <c r="A54" s="68" t="s">
        <v>378</v>
      </c>
      <c r="B54" s="22" t="s">
        <v>165</v>
      </c>
      <c r="C54" s="22" t="s">
        <v>542</v>
      </c>
      <c r="D54" s="22" t="s">
        <v>448</v>
      </c>
      <c r="E54" s="22" t="s">
        <v>175</v>
      </c>
      <c r="F54" s="31">
        <f t="shared" si="4"/>
        <v>183</v>
      </c>
      <c r="G54" s="133">
        <f t="shared" si="4"/>
        <v>0</v>
      </c>
      <c r="H54" s="133">
        <f t="shared" si="1"/>
        <v>0</v>
      </c>
    </row>
    <row r="55" spans="1:8" s="24" customFormat="1" x14ac:dyDescent="0.2">
      <c r="A55" s="68" t="s">
        <v>176</v>
      </c>
      <c r="B55" s="22" t="s">
        <v>165</v>
      </c>
      <c r="C55" s="22" t="s">
        <v>542</v>
      </c>
      <c r="D55" s="22" t="s">
        <v>448</v>
      </c>
      <c r="E55" s="22" t="s">
        <v>177</v>
      </c>
      <c r="F55" s="31">
        <v>183</v>
      </c>
      <c r="G55" s="133">
        <v>0</v>
      </c>
      <c r="H55" s="133">
        <f t="shared" si="1"/>
        <v>0</v>
      </c>
    </row>
    <row r="56" spans="1:8" s="24" customFormat="1" ht="24" x14ac:dyDescent="0.2">
      <c r="A56" s="64" t="s">
        <v>402</v>
      </c>
      <c r="B56" s="16" t="s">
        <v>165</v>
      </c>
      <c r="C56" s="16" t="s">
        <v>379</v>
      </c>
      <c r="D56" s="16"/>
      <c r="E56" s="16"/>
      <c r="F56" s="32">
        <f>F57+F67</f>
        <v>29052.029000000002</v>
      </c>
      <c r="G56" s="32">
        <f>G57+G67</f>
        <v>28625.815000000002</v>
      </c>
      <c r="H56" s="32">
        <f t="shared" si="1"/>
        <v>98.532928629528769</v>
      </c>
    </row>
    <row r="57" spans="1:8" s="24" customFormat="1" ht="24" x14ac:dyDescent="0.2">
      <c r="A57" s="65" t="s">
        <v>506</v>
      </c>
      <c r="B57" s="17" t="s">
        <v>165</v>
      </c>
      <c r="C57" s="17" t="s">
        <v>379</v>
      </c>
      <c r="D57" s="17" t="s">
        <v>311</v>
      </c>
      <c r="E57" s="25"/>
      <c r="F57" s="35">
        <f>F58</f>
        <v>13212</v>
      </c>
      <c r="G57" s="35">
        <f>G58</f>
        <v>13044.857</v>
      </c>
      <c r="H57" s="35">
        <f t="shared" si="1"/>
        <v>98.734915228580078</v>
      </c>
    </row>
    <row r="58" spans="1:8" s="24" customFormat="1" x14ac:dyDescent="0.2">
      <c r="A58" s="66" t="s">
        <v>381</v>
      </c>
      <c r="B58" s="16" t="s">
        <v>165</v>
      </c>
      <c r="C58" s="16" t="s">
        <v>379</v>
      </c>
      <c r="D58" s="16" t="s">
        <v>312</v>
      </c>
      <c r="E58" s="16"/>
      <c r="F58" s="32">
        <f>F59+F62</f>
        <v>13212</v>
      </c>
      <c r="G58" s="32">
        <f>G59+G62</f>
        <v>13044.857</v>
      </c>
      <c r="H58" s="32">
        <f t="shared" si="1"/>
        <v>98.734915228580078</v>
      </c>
    </row>
    <row r="59" spans="1:8" s="24" customFormat="1" ht="24" x14ac:dyDescent="0.2">
      <c r="A59" s="66" t="s">
        <v>107</v>
      </c>
      <c r="B59" s="16" t="s">
        <v>165</v>
      </c>
      <c r="C59" s="16" t="s">
        <v>379</v>
      </c>
      <c r="D59" s="16" t="s">
        <v>313</v>
      </c>
      <c r="E59" s="16"/>
      <c r="F59" s="32">
        <f>F60</f>
        <v>10695</v>
      </c>
      <c r="G59" s="32">
        <f>G60</f>
        <v>10658.682000000001</v>
      </c>
      <c r="H59" s="32">
        <f t="shared" si="1"/>
        <v>99.660420757363255</v>
      </c>
    </row>
    <row r="60" spans="1:8" s="24" customFormat="1" ht="24" x14ac:dyDescent="0.2">
      <c r="A60" s="68" t="s">
        <v>168</v>
      </c>
      <c r="B60" s="22" t="s">
        <v>165</v>
      </c>
      <c r="C60" s="22" t="s">
        <v>379</v>
      </c>
      <c r="D60" s="22" t="s">
        <v>313</v>
      </c>
      <c r="E60" s="22" t="s">
        <v>169</v>
      </c>
      <c r="F60" s="31">
        <f>F61</f>
        <v>10695</v>
      </c>
      <c r="G60" s="31">
        <f>G61</f>
        <v>10658.682000000001</v>
      </c>
      <c r="H60" s="31">
        <f t="shared" si="1"/>
        <v>99.660420757363255</v>
      </c>
    </row>
    <row r="61" spans="1:8" s="24" customFormat="1" x14ac:dyDescent="0.2">
      <c r="A61" s="68" t="s">
        <v>170</v>
      </c>
      <c r="B61" s="22" t="s">
        <v>165</v>
      </c>
      <c r="C61" s="22" t="s">
        <v>379</v>
      </c>
      <c r="D61" s="22" t="s">
        <v>313</v>
      </c>
      <c r="E61" s="22" t="s">
        <v>173</v>
      </c>
      <c r="F61" s="31">
        <f>9403+20+2500-1228</f>
        <v>10695</v>
      </c>
      <c r="G61" s="31">
        <v>10658.682000000001</v>
      </c>
      <c r="H61" s="31">
        <f t="shared" si="1"/>
        <v>99.660420757363255</v>
      </c>
    </row>
    <row r="62" spans="1:8" s="24" customFormat="1" ht="24" x14ac:dyDescent="0.2">
      <c r="A62" s="64" t="s">
        <v>108</v>
      </c>
      <c r="B62" s="16" t="s">
        <v>165</v>
      </c>
      <c r="C62" s="16" t="s">
        <v>379</v>
      </c>
      <c r="D62" s="16" t="s">
        <v>314</v>
      </c>
      <c r="E62" s="16"/>
      <c r="F62" s="32">
        <f>F63+F65</f>
        <v>2517</v>
      </c>
      <c r="G62" s="32">
        <f>G63+G65</f>
        <v>2386.1749999999997</v>
      </c>
      <c r="H62" s="32">
        <f t="shared" si="1"/>
        <v>94.802344060389345</v>
      </c>
    </row>
    <row r="63" spans="1:8" s="24" customFormat="1" x14ac:dyDescent="0.2">
      <c r="A63" s="68" t="s">
        <v>378</v>
      </c>
      <c r="B63" s="22" t="s">
        <v>165</v>
      </c>
      <c r="C63" s="22" t="s">
        <v>379</v>
      </c>
      <c r="D63" s="22" t="s">
        <v>314</v>
      </c>
      <c r="E63" s="22" t="s">
        <v>175</v>
      </c>
      <c r="F63" s="31">
        <f>F64</f>
        <v>2488</v>
      </c>
      <c r="G63" s="31">
        <f>G64</f>
        <v>2358.6309999999999</v>
      </c>
      <c r="H63" s="31">
        <f t="shared" si="1"/>
        <v>94.800281350482308</v>
      </c>
    </row>
    <row r="64" spans="1:8" s="24" customFormat="1" x14ac:dyDescent="0.2">
      <c r="A64" s="68" t="s">
        <v>176</v>
      </c>
      <c r="B64" s="22" t="s">
        <v>165</v>
      </c>
      <c r="C64" s="22" t="s">
        <v>379</v>
      </c>
      <c r="D64" s="22" t="s">
        <v>314</v>
      </c>
      <c r="E64" s="22" t="s">
        <v>177</v>
      </c>
      <c r="F64" s="31">
        <f>2785-25-272</f>
        <v>2488</v>
      </c>
      <c r="G64" s="31">
        <v>2358.6309999999999</v>
      </c>
      <c r="H64" s="31">
        <f t="shared" si="1"/>
        <v>94.800281350482308</v>
      </c>
    </row>
    <row r="65" spans="1:8" s="24" customFormat="1" x14ac:dyDescent="0.2">
      <c r="A65" s="68" t="s">
        <v>178</v>
      </c>
      <c r="B65" s="22" t="s">
        <v>165</v>
      </c>
      <c r="C65" s="22" t="s">
        <v>379</v>
      </c>
      <c r="D65" s="22" t="s">
        <v>314</v>
      </c>
      <c r="E65" s="22" t="s">
        <v>179</v>
      </c>
      <c r="F65" s="31">
        <f>F66</f>
        <v>29</v>
      </c>
      <c r="G65" s="31">
        <f>G66</f>
        <v>27.544</v>
      </c>
      <c r="H65" s="31">
        <f t="shared" si="1"/>
        <v>94.979310344827582</v>
      </c>
    </row>
    <row r="66" spans="1:8" s="24" customFormat="1" x14ac:dyDescent="0.2">
      <c r="A66" s="68" t="s">
        <v>87</v>
      </c>
      <c r="B66" s="22" t="s">
        <v>165</v>
      </c>
      <c r="C66" s="22" t="s">
        <v>379</v>
      </c>
      <c r="D66" s="22" t="s">
        <v>314</v>
      </c>
      <c r="E66" s="22" t="s">
        <v>180</v>
      </c>
      <c r="F66" s="31">
        <f>14-5+25-5</f>
        <v>29</v>
      </c>
      <c r="G66" s="31">
        <v>27.544</v>
      </c>
      <c r="H66" s="31">
        <f t="shared" si="1"/>
        <v>94.979310344827582</v>
      </c>
    </row>
    <row r="67" spans="1:8" s="24" customFormat="1" x14ac:dyDescent="0.2">
      <c r="A67" s="65" t="s">
        <v>413</v>
      </c>
      <c r="B67" s="17" t="s">
        <v>165</v>
      </c>
      <c r="C67" s="17" t="s">
        <v>379</v>
      </c>
      <c r="D67" s="17" t="s">
        <v>293</v>
      </c>
      <c r="E67" s="17"/>
      <c r="F67" s="35">
        <f>F68</f>
        <v>15840.029</v>
      </c>
      <c r="G67" s="35">
        <f>G68</f>
        <v>15580.958000000001</v>
      </c>
      <c r="H67" s="35">
        <f t="shared" si="1"/>
        <v>98.364453751947039</v>
      </c>
    </row>
    <row r="68" spans="1:8" s="24" customFormat="1" x14ac:dyDescent="0.2">
      <c r="A68" s="66" t="s">
        <v>381</v>
      </c>
      <c r="B68" s="16" t="s">
        <v>165</v>
      </c>
      <c r="C68" s="16" t="s">
        <v>379</v>
      </c>
      <c r="D68" s="16" t="s">
        <v>294</v>
      </c>
      <c r="E68" s="16"/>
      <c r="F68" s="32">
        <f>F69+F72+F77</f>
        <v>15840.029</v>
      </c>
      <c r="G68" s="32">
        <f>G69+G72+G77</f>
        <v>15580.958000000001</v>
      </c>
      <c r="H68" s="32">
        <f t="shared" si="1"/>
        <v>98.364453751947039</v>
      </c>
    </row>
    <row r="69" spans="1:8" s="118" customFormat="1" ht="12" x14ac:dyDescent="0.2">
      <c r="A69" s="66" t="s">
        <v>411</v>
      </c>
      <c r="B69" s="16" t="s">
        <v>165</v>
      </c>
      <c r="C69" s="16" t="s">
        <v>379</v>
      </c>
      <c r="D69" s="16" t="s">
        <v>295</v>
      </c>
      <c r="E69" s="16"/>
      <c r="F69" s="32">
        <f>F70</f>
        <v>12985</v>
      </c>
      <c r="G69" s="32">
        <f>G70</f>
        <v>12977.255999999999</v>
      </c>
      <c r="H69" s="32">
        <f t="shared" si="1"/>
        <v>99.940361956103203</v>
      </c>
    </row>
    <row r="70" spans="1:8" s="24" customFormat="1" ht="24" x14ac:dyDescent="0.2">
      <c r="A70" s="68" t="s">
        <v>168</v>
      </c>
      <c r="B70" s="22" t="s">
        <v>165</v>
      </c>
      <c r="C70" s="22" t="s">
        <v>379</v>
      </c>
      <c r="D70" s="22" t="s">
        <v>295</v>
      </c>
      <c r="E70" s="22" t="s">
        <v>169</v>
      </c>
      <c r="F70" s="31">
        <f>F71</f>
        <v>12985</v>
      </c>
      <c r="G70" s="31">
        <f>G71</f>
        <v>12977.255999999999</v>
      </c>
      <c r="H70" s="31">
        <f t="shared" si="1"/>
        <v>99.940361956103203</v>
      </c>
    </row>
    <row r="71" spans="1:8" s="24" customFormat="1" x14ac:dyDescent="0.2">
      <c r="A71" s="68" t="s">
        <v>170</v>
      </c>
      <c r="B71" s="22" t="s">
        <v>165</v>
      </c>
      <c r="C71" s="22" t="s">
        <v>379</v>
      </c>
      <c r="D71" s="22" t="s">
        <v>295</v>
      </c>
      <c r="E71" s="22" t="s">
        <v>173</v>
      </c>
      <c r="F71" s="31">
        <f>9695+2920+370</f>
        <v>12985</v>
      </c>
      <c r="G71" s="31">
        <v>12977.255999999999</v>
      </c>
      <c r="H71" s="31">
        <f t="shared" si="1"/>
        <v>99.940361956103203</v>
      </c>
    </row>
    <row r="72" spans="1:8" s="24" customFormat="1" x14ac:dyDescent="0.2">
      <c r="A72" s="64" t="s">
        <v>412</v>
      </c>
      <c r="B72" s="16" t="s">
        <v>165</v>
      </c>
      <c r="C72" s="16" t="s">
        <v>379</v>
      </c>
      <c r="D72" s="16" t="s">
        <v>296</v>
      </c>
      <c r="E72" s="16"/>
      <c r="F72" s="32">
        <f>F73+F75</f>
        <v>2624</v>
      </c>
      <c r="G72" s="32">
        <f>G73+G75</f>
        <v>2372.6729999999998</v>
      </c>
      <c r="H72" s="32">
        <f t="shared" si="1"/>
        <v>90.421989329268285</v>
      </c>
    </row>
    <row r="73" spans="1:8" s="24" customFormat="1" x14ac:dyDescent="0.2">
      <c r="A73" s="68" t="s">
        <v>378</v>
      </c>
      <c r="B73" s="22" t="s">
        <v>165</v>
      </c>
      <c r="C73" s="22" t="s">
        <v>379</v>
      </c>
      <c r="D73" s="22" t="s">
        <v>296</v>
      </c>
      <c r="E73" s="22" t="s">
        <v>175</v>
      </c>
      <c r="F73" s="31">
        <f>F74</f>
        <v>2619</v>
      </c>
      <c r="G73" s="31">
        <f>G74</f>
        <v>2371.3359999999998</v>
      </c>
      <c r="H73" s="31">
        <f t="shared" si="1"/>
        <v>90.543566246659026</v>
      </c>
    </row>
    <row r="74" spans="1:8" s="24" customFormat="1" x14ac:dyDescent="0.2">
      <c r="A74" s="68" t="s">
        <v>176</v>
      </c>
      <c r="B74" s="22" t="s">
        <v>165</v>
      </c>
      <c r="C74" s="22" t="s">
        <v>379</v>
      </c>
      <c r="D74" s="22" t="s">
        <v>296</v>
      </c>
      <c r="E74" s="22" t="s">
        <v>177</v>
      </c>
      <c r="F74" s="31">
        <f>2769-150</f>
        <v>2619</v>
      </c>
      <c r="G74" s="31">
        <v>2371.3359999999998</v>
      </c>
      <c r="H74" s="31">
        <f t="shared" si="1"/>
        <v>90.543566246659026</v>
      </c>
    </row>
    <row r="75" spans="1:8" s="24" customFormat="1" x14ac:dyDescent="0.2">
      <c r="A75" s="68" t="s">
        <v>178</v>
      </c>
      <c r="B75" s="22" t="s">
        <v>165</v>
      </c>
      <c r="C75" s="22" t="s">
        <v>379</v>
      </c>
      <c r="D75" s="22" t="s">
        <v>296</v>
      </c>
      <c r="E75" s="22" t="s">
        <v>179</v>
      </c>
      <c r="F75" s="31">
        <f>F76</f>
        <v>5</v>
      </c>
      <c r="G75" s="31">
        <f>G76</f>
        <v>1.337</v>
      </c>
      <c r="H75" s="31">
        <f t="shared" ref="H75:H138" si="5">G75/F75*100</f>
        <v>26.74</v>
      </c>
    </row>
    <row r="76" spans="1:8" s="24" customFormat="1" x14ac:dyDescent="0.2">
      <c r="A76" s="68" t="s">
        <v>87</v>
      </c>
      <c r="B76" s="22" t="s">
        <v>165</v>
      </c>
      <c r="C76" s="22" t="s">
        <v>379</v>
      </c>
      <c r="D76" s="22" t="s">
        <v>296</v>
      </c>
      <c r="E76" s="22" t="s">
        <v>180</v>
      </c>
      <c r="F76" s="31">
        <v>5</v>
      </c>
      <c r="G76" s="31">
        <v>1.337</v>
      </c>
      <c r="H76" s="31">
        <f t="shared" si="5"/>
        <v>26.74</v>
      </c>
    </row>
    <row r="77" spans="1:8" s="24" customFormat="1" ht="24" x14ac:dyDescent="0.2">
      <c r="A77" s="64" t="s">
        <v>632</v>
      </c>
      <c r="B77" s="16" t="s">
        <v>165</v>
      </c>
      <c r="C77" s="16" t="s">
        <v>379</v>
      </c>
      <c r="D77" s="16" t="s">
        <v>633</v>
      </c>
      <c r="E77" s="16"/>
      <c r="F77" s="32">
        <f>F78</f>
        <v>231.029</v>
      </c>
      <c r="G77" s="32">
        <f>G78</f>
        <v>231.029</v>
      </c>
      <c r="H77" s="32">
        <f t="shared" si="5"/>
        <v>100</v>
      </c>
    </row>
    <row r="78" spans="1:8" s="24" customFormat="1" ht="24" x14ac:dyDescent="0.2">
      <c r="A78" s="68" t="s">
        <v>168</v>
      </c>
      <c r="B78" s="22" t="s">
        <v>165</v>
      </c>
      <c r="C78" s="22" t="s">
        <v>379</v>
      </c>
      <c r="D78" s="22" t="s">
        <v>633</v>
      </c>
      <c r="E78" s="22" t="s">
        <v>169</v>
      </c>
      <c r="F78" s="31">
        <f>F79</f>
        <v>231.029</v>
      </c>
      <c r="G78" s="31">
        <f>G79</f>
        <v>231.029</v>
      </c>
      <c r="H78" s="31">
        <f t="shared" si="5"/>
        <v>100</v>
      </c>
    </row>
    <row r="79" spans="1:8" s="24" customFormat="1" x14ac:dyDescent="0.2">
      <c r="A79" s="68" t="s">
        <v>170</v>
      </c>
      <c r="B79" s="22" t="s">
        <v>165</v>
      </c>
      <c r="C79" s="22" t="s">
        <v>379</v>
      </c>
      <c r="D79" s="22" t="s">
        <v>633</v>
      </c>
      <c r="E79" s="22" t="s">
        <v>173</v>
      </c>
      <c r="F79" s="31">
        <v>231.029</v>
      </c>
      <c r="G79" s="31">
        <v>231.029</v>
      </c>
      <c r="H79" s="31">
        <f t="shared" si="5"/>
        <v>100</v>
      </c>
    </row>
    <row r="80" spans="1:8" s="24" customFormat="1" x14ac:dyDescent="0.2">
      <c r="A80" s="50" t="s">
        <v>207</v>
      </c>
      <c r="B80" s="16" t="s">
        <v>165</v>
      </c>
      <c r="C80" s="16" t="s">
        <v>598</v>
      </c>
      <c r="D80" s="16"/>
      <c r="E80" s="16"/>
      <c r="F80" s="32">
        <f t="shared" ref="F80:G83" si="6">F81</f>
        <v>8877.4</v>
      </c>
      <c r="G80" s="32">
        <f t="shared" si="6"/>
        <v>8877.4</v>
      </c>
      <c r="H80" s="32">
        <f t="shared" si="5"/>
        <v>100</v>
      </c>
    </row>
    <row r="81" spans="1:8" s="24" customFormat="1" x14ac:dyDescent="0.2">
      <c r="A81" s="51" t="s">
        <v>211</v>
      </c>
      <c r="B81" s="17" t="s">
        <v>165</v>
      </c>
      <c r="C81" s="17" t="s">
        <v>598</v>
      </c>
      <c r="D81" s="17" t="s">
        <v>293</v>
      </c>
      <c r="E81" s="17"/>
      <c r="F81" s="35">
        <f t="shared" si="6"/>
        <v>8877.4</v>
      </c>
      <c r="G81" s="35">
        <f t="shared" si="6"/>
        <v>8877.4</v>
      </c>
      <c r="H81" s="35">
        <f t="shared" si="5"/>
        <v>100</v>
      </c>
    </row>
    <row r="82" spans="1:8" s="24" customFormat="1" x14ac:dyDescent="0.2">
      <c r="A82" s="50" t="s">
        <v>381</v>
      </c>
      <c r="B82" s="16" t="s">
        <v>165</v>
      </c>
      <c r="C82" s="16" t="s">
        <v>598</v>
      </c>
      <c r="D82" s="16" t="s">
        <v>294</v>
      </c>
      <c r="E82" s="16"/>
      <c r="F82" s="32">
        <f t="shared" si="6"/>
        <v>8877.4</v>
      </c>
      <c r="G82" s="32">
        <f t="shared" si="6"/>
        <v>8877.4</v>
      </c>
      <c r="H82" s="32">
        <f t="shared" si="5"/>
        <v>100</v>
      </c>
    </row>
    <row r="83" spans="1:8" s="24" customFormat="1" x14ac:dyDescent="0.2">
      <c r="A83" s="52" t="s">
        <v>178</v>
      </c>
      <c r="B83" s="22" t="s">
        <v>165</v>
      </c>
      <c r="C83" s="22" t="s">
        <v>598</v>
      </c>
      <c r="D83" s="22" t="s">
        <v>436</v>
      </c>
      <c r="E83" s="22" t="s">
        <v>179</v>
      </c>
      <c r="F83" s="31">
        <f t="shared" si="6"/>
        <v>8877.4</v>
      </c>
      <c r="G83" s="31">
        <f t="shared" si="6"/>
        <v>8877.4</v>
      </c>
      <c r="H83" s="31">
        <f t="shared" si="5"/>
        <v>100</v>
      </c>
    </row>
    <row r="84" spans="1:8" s="24" customFormat="1" x14ac:dyDescent="0.2">
      <c r="A84" s="52" t="s">
        <v>208</v>
      </c>
      <c r="B84" s="22" t="s">
        <v>165</v>
      </c>
      <c r="C84" s="22" t="s">
        <v>598</v>
      </c>
      <c r="D84" s="22" t="s">
        <v>436</v>
      </c>
      <c r="E84" s="22" t="s">
        <v>209</v>
      </c>
      <c r="F84" s="31">
        <f>550+8327.4</f>
        <v>8877.4</v>
      </c>
      <c r="G84" s="31">
        <v>8877.4</v>
      </c>
      <c r="H84" s="31">
        <f t="shared" si="5"/>
        <v>100</v>
      </c>
    </row>
    <row r="85" spans="1:8" s="24" customFormat="1" x14ac:dyDescent="0.2">
      <c r="A85" s="64" t="s">
        <v>404</v>
      </c>
      <c r="B85" s="16" t="s">
        <v>165</v>
      </c>
      <c r="C85" s="16" t="s">
        <v>181</v>
      </c>
      <c r="D85" s="16"/>
      <c r="E85" s="16"/>
      <c r="F85" s="32">
        <f t="shared" ref="F85:G89" si="7">F86</f>
        <v>1086</v>
      </c>
      <c r="G85" s="135">
        <f t="shared" si="7"/>
        <v>0</v>
      </c>
      <c r="H85" s="135">
        <f t="shared" si="5"/>
        <v>0</v>
      </c>
    </row>
    <row r="86" spans="1:8" s="24" customFormat="1" x14ac:dyDescent="0.2">
      <c r="A86" s="65" t="s">
        <v>163</v>
      </c>
      <c r="B86" s="17" t="s">
        <v>165</v>
      </c>
      <c r="C86" s="17" t="s">
        <v>181</v>
      </c>
      <c r="D86" s="17" t="s">
        <v>293</v>
      </c>
      <c r="E86" s="17"/>
      <c r="F86" s="35">
        <f t="shared" si="7"/>
        <v>1086</v>
      </c>
      <c r="G86" s="136">
        <f t="shared" si="7"/>
        <v>0</v>
      </c>
      <c r="H86" s="136">
        <f t="shared" si="5"/>
        <v>0</v>
      </c>
    </row>
    <row r="87" spans="1:8" s="24" customFormat="1" x14ac:dyDescent="0.2">
      <c r="A87" s="66" t="s">
        <v>381</v>
      </c>
      <c r="B87" s="16" t="s">
        <v>165</v>
      </c>
      <c r="C87" s="16" t="s">
        <v>181</v>
      </c>
      <c r="D87" s="16" t="s">
        <v>294</v>
      </c>
      <c r="E87" s="16"/>
      <c r="F87" s="32">
        <f t="shared" si="7"/>
        <v>1086</v>
      </c>
      <c r="G87" s="135">
        <f t="shared" si="7"/>
        <v>0</v>
      </c>
      <c r="H87" s="135">
        <f t="shared" si="5"/>
        <v>0</v>
      </c>
    </row>
    <row r="88" spans="1:8" s="24" customFormat="1" x14ac:dyDescent="0.2">
      <c r="A88" s="68" t="s">
        <v>182</v>
      </c>
      <c r="B88" s="22" t="s">
        <v>165</v>
      </c>
      <c r="C88" s="22" t="s">
        <v>181</v>
      </c>
      <c r="D88" s="22" t="s">
        <v>408</v>
      </c>
      <c r="E88" s="22"/>
      <c r="F88" s="31">
        <f t="shared" si="7"/>
        <v>1086</v>
      </c>
      <c r="G88" s="133">
        <f t="shared" si="7"/>
        <v>0</v>
      </c>
      <c r="H88" s="133">
        <f t="shared" si="5"/>
        <v>0</v>
      </c>
    </row>
    <row r="89" spans="1:8" s="24" customFormat="1" x14ac:dyDescent="0.2">
      <c r="A89" s="68" t="s">
        <v>178</v>
      </c>
      <c r="B89" s="22" t="s">
        <v>165</v>
      </c>
      <c r="C89" s="22" t="s">
        <v>181</v>
      </c>
      <c r="D89" s="22" t="s">
        <v>408</v>
      </c>
      <c r="E89" s="22" t="s">
        <v>179</v>
      </c>
      <c r="F89" s="31">
        <f t="shared" si="7"/>
        <v>1086</v>
      </c>
      <c r="G89" s="133">
        <f t="shared" si="7"/>
        <v>0</v>
      </c>
      <c r="H89" s="133">
        <f t="shared" si="5"/>
        <v>0</v>
      </c>
    </row>
    <row r="90" spans="1:8" s="24" customFormat="1" x14ac:dyDescent="0.2">
      <c r="A90" s="68" t="s">
        <v>183</v>
      </c>
      <c r="B90" s="22" t="s">
        <v>165</v>
      </c>
      <c r="C90" s="22" t="s">
        <v>181</v>
      </c>
      <c r="D90" s="22" t="s">
        <v>408</v>
      </c>
      <c r="E90" s="22" t="s">
        <v>547</v>
      </c>
      <c r="F90" s="31">
        <f>3000-150-50-80-50-770-414-185-215</f>
        <v>1086</v>
      </c>
      <c r="G90" s="133">
        <v>0</v>
      </c>
      <c r="H90" s="133">
        <f t="shared" si="5"/>
        <v>0</v>
      </c>
    </row>
    <row r="91" spans="1:8" s="24" customFormat="1" x14ac:dyDescent="0.2">
      <c r="A91" s="64" t="s">
        <v>405</v>
      </c>
      <c r="B91" s="16" t="s">
        <v>165</v>
      </c>
      <c r="C91" s="16" t="s">
        <v>184</v>
      </c>
      <c r="D91" s="16"/>
      <c r="E91" s="16"/>
      <c r="F91" s="32">
        <f>F92+F136+F140+F145</f>
        <v>99829.040749999986</v>
      </c>
      <c r="G91" s="32">
        <f>G92+G136+G140+G145</f>
        <v>92671.656000000003</v>
      </c>
      <c r="H91" s="35">
        <f t="shared" si="5"/>
        <v>92.83035808395266</v>
      </c>
    </row>
    <row r="92" spans="1:8" s="24" customFormat="1" ht="27" x14ac:dyDescent="0.2">
      <c r="A92" s="70" t="s">
        <v>441</v>
      </c>
      <c r="B92" s="43" t="s">
        <v>165</v>
      </c>
      <c r="C92" s="43" t="s">
        <v>184</v>
      </c>
      <c r="D92" s="49" t="s">
        <v>297</v>
      </c>
      <c r="E92" s="48"/>
      <c r="F92" s="47">
        <f>F93+F97+F122+F129</f>
        <v>15075</v>
      </c>
      <c r="G92" s="47">
        <f>G93+G97+G122+G129</f>
        <v>13547.452000000001</v>
      </c>
      <c r="H92" s="35">
        <f t="shared" si="5"/>
        <v>89.867011608623557</v>
      </c>
    </row>
    <row r="93" spans="1:8" s="24" customFormat="1" ht="27" x14ac:dyDescent="0.2">
      <c r="A93" s="82" t="s">
        <v>253</v>
      </c>
      <c r="B93" s="43" t="s">
        <v>165</v>
      </c>
      <c r="C93" s="43" t="s">
        <v>184</v>
      </c>
      <c r="D93" s="77" t="s">
        <v>254</v>
      </c>
      <c r="E93" s="48"/>
      <c r="F93" s="47">
        <f t="shared" ref="F93:G95" si="8">F94</f>
        <v>3500</v>
      </c>
      <c r="G93" s="47">
        <f t="shared" si="8"/>
        <v>3500</v>
      </c>
      <c r="H93" s="47">
        <f t="shared" si="5"/>
        <v>100</v>
      </c>
    </row>
    <row r="94" spans="1:8" s="24" customFormat="1" ht="24" x14ac:dyDescent="0.2">
      <c r="A94" s="61" t="s">
        <v>255</v>
      </c>
      <c r="B94" s="16" t="s">
        <v>165</v>
      </c>
      <c r="C94" s="16" t="s">
        <v>184</v>
      </c>
      <c r="D94" s="33" t="s">
        <v>214</v>
      </c>
      <c r="E94" s="28"/>
      <c r="F94" s="95">
        <f t="shared" si="8"/>
        <v>3500</v>
      </c>
      <c r="G94" s="95">
        <f t="shared" si="8"/>
        <v>3500</v>
      </c>
      <c r="H94" s="31">
        <f t="shared" si="5"/>
        <v>100</v>
      </c>
    </row>
    <row r="95" spans="1:8" s="24" customFormat="1" x14ac:dyDescent="0.2">
      <c r="A95" s="68" t="s">
        <v>378</v>
      </c>
      <c r="B95" s="22" t="s">
        <v>165</v>
      </c>
      <c r="C95" s="22" t="s">
        <v>184</v>
      </c>
      <c r="D95" s="30" t="s">
        <v>214</v>
      </c>
      <c r="E95" s="23">
        <v>200</v>
      </c>
      <c r="F95" s="96">
        <f t="shared" si="8"/>
        <v>3500</v>
      </c>
      <c r="G95" s="96">
        <f t="shared" si="8"/>
        <v>3500</v>
      </c>
      <c r="H95" s="31">
        <f t="shared" si="5"/>
        <v>100</v>
      </c>
    </row>
    <row r="96" spans="1:8" s="24" customFormat="1" x14ac:dyDescent="0.2">
      <c r="A96" s="68" t="s">
        <v>176</v>
      </c>
      <c r="B96" s="22" t="s">
        <v>165</v>
      </c>
      <c r="C96" s="22" t="s">
        <v>184</v>
      </c>
      <c r="D96" s="30" t="s">
        <v>214</v>
      </c>
      <c r="E96" s="23">
        <v>240</v>
      </c>
      <c r="F96" s="96">
        <f>2000+1500</f>
        <v>3500</v>
      </c>
      <c r="G96" s="96">
        <v>3500</v>
      </c>
      <c r="H96" s="31">
        <f t="shared" si="5"/>
        <v>100</v>
      </c>
    </row>
    <row r="97" spans="1:8" s="24" customFormat="1" ht="27" x14ac:dyDescent="0.2">
      <c r="A97" s="82" t="s">
        <v>135</v>
      </c>
      <c r="B97" s="43" t="s">
        <v>165</v>
      </c>
      <c r="C97" s="43" t="s">
        <v>184</v>
      </c>
      <c r="D97" s="77" t="s">
        <v>330</v>
      </c>
      <c r="E97" s="48"/>
      <c r="F97" s="47">
        <f>F98+F101+F104+F107+F110+F113+F116+F119</f>
        <v>4816</v>
      </c>
      <c r="G97" s="47">
        <f>G98+G101+G104+G107+G110+G113+G116+G119</f>
        <v>4606.5420000000004</v>
      </c>
      <c r="H97" s="35">
        <f t="shared" si="5"/>
        <v>95.650789036544865</v>
      </c>
    </row>
    <row r="98" spans="1:8" s="24" customFormat="1" x14ac:dyDescent="0.2">
      <c r="A98" s="61" t="s">
        <v>110</v>
      </c>
      <c r="B98" s="16" t="s">
        <v>165</v>
      </c>
      <c r="C98" s="16" t="s">
        <v>184</v>
      </c>
      <c r="D98" s="33" t="s">
        <v>136</v>
      </c>
      <c r="E98" s="28"/>
      <c r="F98" s="32">
        <f>F99</f>
        <v>146</v>
      </c>
      <c r="G98" s="32">
        <f>G99</f>
        <v>146</v>
      </c>
      <c r="H98" s="32">
        <f t="shared" si="5"/>
        <v>100</v>
      </c>
    </row>
    <row r="99" spans="1:8" s="24" customFormat="1" x14ac:dyDescent="0.2">
      <c r="A99" s="68" t="s">
        <v>378</v>
      </c>
      <c r="B99" s="22" t="s">
        <v>165</v>
      </c>
      <c r="C99" s="22" t="s">
        <v>184</v>
      </c>
      <c r="D99" s="30" t="s">
        <v>136</v>
      </c>
      <c r="E99" s="23">
        <v>200</v>
      </c>
      <c r="F99" s="31">
        <f>F100</f>
        <v>146</v>
      </c>
      <c r="G99" s="31">
        <f>G100</f>
        <v>146</v>
      </c>
      <c r="H99" s="31">
        <f t="shared" si="5"/>
        <v>100</v>
      </c>
    </row>
    <row r="100" spans="1:8" s="24" customFormat="1" x14ac:dyDescent="0.2">
      <c r="A100" s="68" t="s">
        <v>176</v>
      </c>
      <c r="B100" s="22" t="s">
        <v>165</v>
      </c>
      <c r="C100" s="22" t="s">
        <v>184</v>
      </c>
      <c r="D100" s="30" t="s">
        <v>136</v>
      </c>
      <c r="E100" s="23">
        <v>240</v>
      </c>
      <c r="F100" s="31">
        <f>1928-1782</f>
        <v>146</v>
      </c>
      <c r="G100" s="31">
        <v>146</v>
      </c>
      <c r="H100" s="31">
        <f t="shared" si="5"/>
        <v>100</v>
      </c>
    </row>
    <row r="101" spans="1:8" s="24" customFormat="1" x14ac:dyDescent="0.2">
      <c r="A101" s="61" t="s">
        <v>111</v>
      </c>
      <c r="B101" s="16" t="s">
        <v>165</v>
      </c>
      <c r="C101" s="16" t="s">
        <v>184</v>
      </c>
      <c r="D101" s="33" t="s">
        <v>137</v>
      </c>
      <c r="E101" s="23"/>
      <c r="F101" s="32">
        <f>F102</f>
        <v>325</v>
      </c>
      <c r="G101" s="32">
        <f>G102</f>
        <v>325</v>
      </c>
      <c r="H101" s="32">
        <f t="shared" si="5"/>
        <v>100</v>
      </c>
    </row>
    <row r="102" spans="1:8" s="24" customFormat="1" x14ac:dyDescent="0.2">
      <c r="A102" s="68" t="s">
        <v>378</v>
      </c>
      <c r="B102" s="22" t="s">
        <v>165</v>
      </c>
      <c r="C102" s="22" t="s">
        <v>184</v>
      </c>
      <c r="D102" s="30" t="s">
        <v>137</v>
      </c>
      <c r="E102" s="23">
        <v>200</v>
      </c>
      <c r="F102" s="31">
        <f>F103</f>
        <v>325</v>
      </c>
      <c r="G102" s="31">
        <f>G103</f>
        <v>325</v>
      </c>
      <c r="H102" s="31">
        <f t="shared" si="5"/>
        <v>100</v>
      </c>
    </row>
    <row r="103" spans="1:8" s="24" customFormat="1" x14ac:dyDescent="0.2">
      <c r="A103" s="68" t="s">
        <v>176</v>
      </c>
      <c r="B103" s="22" t="s">
        <v>165</v>
      </c>
      <c r="C103" s="22" t="s">
        <v>184</v>
      </c>
      <c r="D103" s="30" t="s">
        <v>137</v>
      </c>
      <c r="E103" s="23">
        <v>240</v>
      </c>
      <c r="F103" s="31">
        <f>340+80-95</f>
        <v>325</v>
      </c>
      <c r="G103" s="31">
        <v>325</v>
      </c>
      <c r="H103" s="31">
        <f t="shared" si="5"/>
        <v>100</v>
      </c>
    </row>
    <row r="104" spans="1:8" s="24" customFormat="1" ht="24" x14ac:dyDescent="0.2">
      <c r="A104" s="61" t="s">
        <v>112</v>
      </c>
      <c r="B104" s="16" t="s">
        <v>165</v>
      </c>
      <c r="C104" s="16" t="s">
        <v>184</v>
      </c>
      <c r="D104" s="33" t="s">
        <v>138</v>
      </c>
      <c r="E104" s="23"/>
      <c r="F104" s="32">
        <f>F105</f>
        <v>490</v>
      </c>
      <c r="G104" s="32">
        <f>G105</f>
        <v>490</v>
      </c>
      <c r="H104" s="32">
        <f t="shared" si="5"/>
        <v>100</v>
      </c>
    </row>
    <row r="105" spans="1:8" s="24" customFormat="1" x14ac:dyDescent="0.2">
      <c r="A105" s="68" t="s">
        <v>378</v>
      </c>
      <c r="B105" s="22" t="s">
        <v>165</v>
      </c>
      <c r="C105" s="22" t="s">
        <v>184</v>
      </c>
      <c r="D105" s="30" t="s">
        <v>138</v>
      </c>
      <c r="E105" s="23">
        <v>200</v>
      </c>
      <c r="F105" s="31">
        <f>F106</f>
        <v>490</v>
      </c>
      <c r="G105" s="31">
        <f>G106</f>
        <v>490</v>
      </c>
      <c r="H105" s="31">
        <f t="shared" si="5"/>
        <v>100</v>
      </c>
    </row>
    <row r="106" spans="1:8" s="24" customFormat="1" x14ac:dyDescent="0.2">
      <c r="A106" s="68" t="s">
        <v>176</v>
      </c>
      <c r="B106" s="22" t="s">
        <v>165</v>
      </c>
      <c r="C106" s="22" t="s">
        <v>184</v>
      </c>
      <c r="D106" s="30" t="s">
        <v>138</v>
      </c>
      <c r="E106" s="23">
        <v>240</v>
      </c>
      <c r="F106" s="31">
        <f>385+115-10</f>
        <v>490</v>
      </c>
      <c r="G106" s="31">
        <v>490</v>
      </c>
      <c r="H106" s="31">
        <f t="shared" si="5"/>
        <v>100</v>
      </c>
    </row>
    <row r="107" spans="1:8" s="24" customFormat="1" x14ac:dyDescent="0.2">
      <c r="A107" s="61" t="s">
        <v>113</v>
      </c>
      <c r="B107" s="16" t="s">
        <v>165</v>
      </c>
      <c r="C107" s="16" t="s">
        <v>184</v>
      </c>
      <c r="D107" s="33" t="s">
        <v>139</v>
      </c>
      <c r="E107" s="23"/>
      <c r="F107" s="32">
        <f>F108</f>
        <v>536</v>
      </c>
      <c r="G107" s="32">
        <f>G108</f>
        <v>535.74</v>
      </c>
      <c r="H107" s="32">
        <f t="shared" si="5"/>
        <v>99.951492537313442</v>
      </c>
    </row>
    <row r="108" spans="1:8" s="24" customFormat="1" x14ac:dyDescent="0.2">
      <c r="A108" s="68" t="s">
        <v>378</v>
      </c>
      <c r="B108" s="22" t="s">
        <v>165</v>
      </c>
      <c r="C108" s="22" t="s">
        <v>184</v>
      </c>
      <c r="D108" s="30" t="s">
        <v>139</v>
      </c>
      <c r="E108" s="23">
        <v>200</v>
      </c>
      <c r="F108" s="31">
        <f>F109</f>
        <v>536</v>
      </c>
      <c r="G108" s="31">
        <f>G109</f>
        <v>535.74</v>
      </c>
      <c r="H108" s="31">
        <f t="shared" si="5"/>
        <v>99.951492537313442</v>
      </c>
    </row>
    <row r="109" spans="1:8" s="24" customFormat="1" x14ac:dyDescent="0.2">
      <c r="A109" s="68" t="s">
        <v>176</v>
      </c>
      <c r="B109" s="22" t="s">
        <v>165</v>
      </c>
      <c r="C109" s="22" t="s">
        <v>184</v>
      </c>
      <c r="D109" s="30" t="s">
        <v>139</v>
      </c>
      <c r="E109" s="23">
        <v>240</v>
      </c>
      <c r="F109" s="31">
        <f>320+216</f>
        <v>536</v>
      </c>
      <c r="G109" s="31">
        <v>535.74</v>
      </c>
      <c r="H109" s="31">
        <f t="shared" si="5"/>
        <v>99.951492537313442</v>
      </c>
    </row>
    <row r="110" spans="1:8" s="24" customFormat="1" x14ac:dyDescent="0.2">
      <c r="A110" s="61" t="s">
        <v>114</v>
      </c>
      <c r="B110" s="16" t="s">
        <v>165</v>
      </c>
      <c r="C110" s="16" t="s">
        <v>184</v>
      </c>
      <c r="D110" s="33" t="s">
        <v>140</v>
      </c>
      <c r="E110" s="23"/>
      <c r="F110" s="32">
        <f>F111</f>
        <v>1123</v>
      </c>
      <c r="G110" s="32">
        <f>G111</f>
        <v>921.78899999999999</v>
      </c>
      <c r="H110" s="32">
        <f t="shared" si="5"/>
        <v>82.082724844167416</v>
      </c>
    </row>
    <row r="111" spans="1:8" s="24" customFormat="1" x14ac:dyDescent="0.2">
      <c r="A111" s="68" t="s">
        <v>378</v>
      </c>
      <c r="B111" s="22" t="s">
        <v>165</v>
      </c>
      <c r="C111" s="22" t="s">
        <v>184</v>
      </c>
      <c r="D111" s="30" t="s">
        <v>140</v>
      </c>
      <c r="E111" s="23">
        <v>200</v>
      </c>
      <c r="F111" s="31">
        <f>F112</f>
        <v>1123</v>
      </c>
      <c r="G111" s="31">
        <f>G112</f>
        <v>921.78899999999999</v>
      </c>
      <c r="H111" s="31">
        <f t="shared" si="5"/>
        <v>82.082724844167416</v>
      </c>
    </row>
    <row r="112" spans="1:8" s="24" customFormat="1" x14ac:dyDescent="0.2">
      <c r="A112" s="68" t="s">
        <v>176</v>
      </c>
      <c r="B112" s="22" t="s">
        <v>165</v>
      </c>
      <c r="C112" s="22" t="s">
        <v>184</v>
      </c>
      <c r="D112" s="30" t="s">
        <v>140</v>
      </c>
      <c r="E112" s="23">
        <v>240</v>
      </c>
      <c r="F112" s="31">
        <f>823+300</f>
        <v>1123</v>
      </c>
      <c r="G112" s="31">
        <v>921.78899999999999</v>
      </c>
      <c r="H112" s="31">
        <f t="shared" si="5"/>
        <v>82.082724844167416</v>
      </c>
    </row>
    <row r="113" spans="1:8" s="24" customFormat="1" x14ac:dyDescent="0.2">
      <c r="A113" s="61" t="s">
        <v>334</v>
      </c>
      <c r="B113" s="16" t="s">
        <v>165</v>
      </c>
      <c r="C113" s="16" t="s">
        <v>184</v>
      </c>
      <c r="D113" s="33" t="s">
        <v>141</v>
      </c>
      <c r="E113" s="23"/>
      <c r="F113" s="32">
        <f>F114</f>
        <v>972</v>
      </c>
      <c r="G113" s="32">
        <f>G114</f>
        <v>967.84</v>
      </c>
      <c r="H113" s="32">
        <f t="shared" si="5"/>
        <v>99.57201646090536</v>
      </c>
    </row>
    <row r="114" spans="1:8" s="24" customFormat="1" x14ac:dyDescent="0.2">
      <c r="A114" s="68" t="s">
        <v>378</v>
      </c>
      <c r="B114" s="22" t="s">
        <v>165</v>
      </c>
      <c r="C114" s="22" t="s">
        <v>184</v>
      </c>
      <c r="D114" s="30" t="s">
        <v>141</v>
      </c>
      <c r="E114" s="23">
        <v>200</v>
      </c>
      <c r="F114" s="31">
        <f>F115</f>
        <v>972</v>
      </c>
      <c r="G114" s="31">
        <f>G115</f>
        <v>967.84</v>
      </c>
      <c r="H114" s="31">
        <f t="shared" si="5"/>
        <v>99.57201646090536</v>
      </c>
    </row>
    <row r="115" spans="1:8" s="24" customFormat="1" x14ac:dyDescent="0.2">
      <c r="A115" s="68" t="s">
        <v>176</v>
      </c>
      <c r="B115" s="22" t="s">
        <v>165</v>
      </c>
      <c r="C115" s="22" t="s">
        <v>184</v>
      </c>
      <c r="D115" s="30" t="s">
        <v>141</v>
      </c>
      <c r="E115" s="23">
        <v>240</v>
      </c>
      <c r="F115" s="31">
        <f>1017-45</f>
        <v>972</v>
      </c>
      <c r="G115" s="31">
        <v>967.84</v>
      </c>
      <c r="H115" s="31">
        <f t="shared" si="5"/>
        <v>99.57201646090536</v>
      </c>
    </row>
    <row r="116" spans="1:8" s="24" customFormat="1" x14ac:dyDescent="0.2">
      <c r="A116" s="64" t="s">
        <v>115</v>
      </c>
      <c r="B116" s="16" t="s">
        <v>165</v>
      </c>
      <c r="C116" s="16" t="s">
        <v>184</v>
      </c>
      <c r="D116" s="33" t="s">
        <v>142</v>
      </c>
      <c r="E116" s="23"/>
      <c r="F116" s="32">
        <f>F117</f>
        <v>1094</v>
      </c>
      <c r="G116" s="32">
        <f>G117</f>
        <v>1093.7</v>
      </c>
      <c r="H116" s="32">
        <f t="shared" si="5"/>
        <v>99.972577696526514</v>
      </c>
    </row>
    <row r="117" spans="1:8" s="24" customFormat="1" x14ac:dyDescent="0.2">
      <c r="A117" s="68" t="s">
        <v>378</v>
      </c>
      <c r="B117" s="22" t="s">
        <v>165</v>
      </c>
      <c r="C117" s="22" t="s">
        <v>184</v>
      </c>
      <c r="D117" s="30" t="s">
        <v>142</v>
      </c>
      <c r="E117" s="23">
        <v>200</v>
      </c>
      <c r="F117" s="31">
        <f>F118</f>
        <v>1094</v>
      </c>
      <c r="G117" s="31">
        <f>G118</f>
        <v>1093.7</v>
      </c>
      <c r="H117" s="31">
        <f t="shared" si="5"/>
        <v>99.972577696526514</v>
      </c>
    </row>
    <row r="118" spans="1:8" s="24" customFormat="1" x14ac:dyDescent="0.2">
      <c r="A118" s="68" t="s">
        <v>176</v>
      </c>
      <c r="B118" s="22" t="s">
        <v>165</v>
      </c>
      <c r="C118" s="22" t="s">
        <v>184</v>
      </c>
      <c r="D118" s="30" t="s">
        <v>142</v>
      </c>
      <c r="E118" s="23">
        <v>240</v>
      </c>
      <c r="F118" s="31">
        <f>1210-116</f>
        <v>1094</v>
      </c>
      <c r="G118" s="31">
        <v>1093.7</v>
      </c>
      <c r="H118" s="31">
        <f t="shared" si="5"/>
        <v>99.972577696526514</v>
      </c>
    </row>
    <row r="119" spans="1:8" s="24" customFormat="1" x14ac:dyDescent="0.2">
      <c r="A119" s="64" t="s">
        <v>331</v>
      </c>
      <c r="B119" s="16" t="s">
        <v>165</v>
      </c>
      <c r="C119" s="16" t="s">
        <v>184</v>
      </c>
      <c r="D119" s="33" t="s">
        <v>143</v>
      </c>
      <c r="E119" s="28"/>
      <c r="F119" s="32">
        <f>F120</f>
        <v>130</v>
      </c>
      <c r="G119" s="32">
        <f>G120</f>
        <v>126.473</v>
      </c>
      <c r="H119" s="32">
        <f t="shared" si="5"/>
        <v>97.286923076923074</v>
      </c>
    </row>
    <row r="120" spans="1:8" s="24" customFormat="1" x14ac:dyDescent="0.2">
      <c r="A120" s="68" t="s">
        <v>378</v>
      </c>
      <c r="B120" s="22" t="s">
        <v>165</v>
      </c>
      <c r="C120" s="22" t="s">
        <v>184</v>
      </c>
      <c r="D120" s="30" t="s">
        <v>143</v>
      </c>
      <c r="E120" s="23">
        <v>200</v>
      </c>
      <c r="F120" s="31">
        <f>F121</f>
        <v>130</v>
      </c>
      <c r="G120" s="31">
        <f>G121</f>
        <v>126.473</v>
      </c>
      <c r="H120" s="31">
        <f t="shared" si="5"/>
        <v>97.286923076923074</v>
      </c>
    </row>
    <row r="121" spans="1:8" s="24" customFormat="1" x14ac:dyDescent="0.2">
      <c r="A121" s="68" t="s">
        <v>176</v>
      </c>
      <c r="B121" s="22" t="s">
        <v>165</v>
      </c>
      <c r="C121" s="22" t="s">
        <v>184</v>
      </c>
      <c r="D121" s="30" t="s">
        <v>143</v>
      </c>
      <c r="E121" s="23">
        <v>240</v>
      </c>
      <c r="F121" s="31">
        <v>130</v>
      </c>
      <c r="G121" s="31">
        <v>126.473</v>
      </c>
      <c r="H121" s="31">
        <f t="shared" si="5"/>
        <v>97.286923076923074</v>
      </c>
    </row>
    <row r="122" spans="1:8" s="24" customFormat="1" ht="13.5" x14ac:dyDescent="0.2">
      <c r="A122" s="70" t="s">
        <v>116</v>
      </c>
      <c r="B122" s="43" t="s">
        <v>165</v>
      </c>
      <c r="C122" s="43" t="s">
        <v>184</v>
      </c>
      <c r="D122" s="77" t="s">
        <v>117</v>
      </c>
      <c r="E122" s="48"/>
      <c r="F122" s="47">
        <f>F123+F126</f>
        <v>1555</v>
      </c>
      <c r="G122" s="47">
        <f>G123+G126</f>
        <v>1553.329</v>
      </c>
      <c r="H122" s="47">
        <f t="shared" si="5"/>
        <v>99.892540192926035</v>
      </c>
    </row>
    <row r="123" spans="1:8" s="24" customFormat="1" x14ac:dyDescent="0.2">
      <c r="A123" s="64" t="s">
        <v>332</v>
      </c>
      <c r="B123" s="16" t="s">
        <v>165</v>
      </c>
      <c r="C123" s="16" t="s">
        <v>184</v>
      </c>
      <c r="D123" s="16" t="s">
        <v>144</v>
      </c>
      <c r="E123" s="28"/>
      <c r="F123" s="32">
        <f>F124</f>
        <v>204</v>
      </c>
      <c r="G123" s="32">
        <f>G124</f>
        <v>202.48</v>
      </c>
      <c r="H123" s="32">
        <f t="shared" si="5"/>
        <v>99.254901960784309</v>
      </c>
    </row>
    <row r="124" spans="1:8" s="24" customFormat="1" x14ac:dyDescent="0.2">
      <c r="A124" s="68" t="s">
        <v>378</v>
      </c>
      <c r="B124" s="22" t="s">
        <v>165</v>
      </c>
      <c r="C124" s="22" t="s">
        <v>184</v>
      </c>
      <c r="D124" s="30" t="s">
        <v>144</v>
      </c>
      <c r="E124" s="23">
        <v>200</v>
      </c>
      <c r="F124" s="31">
        <f>F125</f>
        <v>204</v>
      </c>
      <c r="G124" s="31">
        <f>G125</f>
        <v>202.48</v>
      </c>
      <c r="H124" s="31">
        <f t="shared" si="5"/>
        <v>99.254901960784309</v>
      </c>
    </row>
    <row r="125" spans="1:8" s="24" customFormat="1" x14ac:dyDescent="0.2">
      <c r="A125" s="68" t="s">
        <v>176</v>
      </c>
      <c r="B125" s="22" t="s">
        <v>165</v>
      </c>
      <c r="C125" s="22" t="s">
        <v>184</v>
      </c>
      <c r="D125" s="30" t="s">
        <v>144</v>
      </c>
      <c r="E125" s="23">
        <v>240</v>
      </c>
      <c r="F125" s="31">
        <f>367-163</f>
        <v>204</v>
      </c>
      <c r="G125" s="31">
        <v>202.48</v>
      </c>
      <c r="H125" s="31">
        <f t="shared" si="5"/>
        <v>99.254901960784309</v>
      </c>
    </row>
    <row r="126" spans="1:8" s="24" customFormat="1" x14ac:dyDescent="0.2">
      <c r="A126" s="61" t="s">
        <v>118</v>
      </c>
      <c r="B126" s="16" t="s">
        <v>165</v>
      </c>
      <c r="C126" s="16" t="s">
        <v>184</v>
      </c>
      <c r="D126" s="16" t="s">
        <v>145</v>
      </c>
      <c r="E126" s="28"/>
      <c r="F126" s="32">
        <f>F127</f>
        <v>1351</v>
      </c>
      <c r="G126" s="32">
        <f>G127</f>
        <v>1350.8489999999999</v>
      </c>
      <c r="H126" s="32">
        <f t="shared" si="5"/>
        <v>99.988823094004431</v>
      </c>
    </row>
    <row r="127" spans="1:8" s="24" customFormat="1" x14ac:dyDescent="0.2">
      <c r="A127" s="68" t="s">
        <v>378</v>
      </c>
      <c r="B127" s="22" t="s">
        <v>165</v>
      </c>
      <c r="C127" s="22" t="s">
        <v>184</v>
      </c>
      <c r="D127" s="30" t="s">
        <v>145</v>
      </c>
      <c r="E127" s="23">
        <v>200</v>
      </c>
      <c r="F127" s="31">
        <f>F128</f>
        <v>1351</v>
      </c>
      <c r="G127" s="31">
        <f>G128</f>
        <v>1350.8489999999999</v>
      </c>
      <c r="H127" s="31">
        <f t="shared" si="5"/>
        <v>99.988823094004431</v>
      </c>
    </row>
    <row r="128" spans="1:8" s="24" customFormat="1" x14ac:dyDescent="0.2">
      <c r="A128" s="68" t="s">
        <v>176</v>
      </c>
      <c r="B128" s="22" t="s">
        <v>165</v>
      </c>
      <c r="C128" s="22" t="s">
        <v>184</v>
      </c>
      <c r="D128" s="30" t="s">
        <v>145</v>
      </c>
      <c r="E128" s="23">
        <v>240</v>
      </c>
      <c r="F128" s="31">
        <f>480+900-29</f>
        <v>1351</v>
      </c>
      <c r="G128" s="31">
        <v>1350.8489999999999</v>
      </c>
      <c r="H128" s="31">
        <f t="shared" si="5"/>
        <v>99.988823094004431</v>
      </c>
    </row>
    <row r="129" spans="1:8" s="24" customFormat="1" ht="27" x14ac:dyDescent="0.2">
      <c r="A129" s="70" t="s">
        <v>571</v>
      </c>
      <c r="B129" s="43" t="s">
        <v>165</v>
      </c>
      <c r="C129" s="43" t="s">
        <v>184</v>
      </c>
      <c r="D129" s="77" t="s">
        <v>570</v>
      </c>
      <c r="E129" s="48"/>
      <c r="F129" s="47">
        <f>F130+F133</f>
        <v>5204</v>
      </c>
      <c r="G129" s="47">
        <f>G130+G133</f>
        <v>3887.5810000000001</v>
      </c>
      <c r="H129" s="47">
        <f t="shared" si="5"/>
        <v>74.703708685626452</v>
      </c>
    </row>
    <row r="130" spans="1:8" s="24" customFormat="1" ht="24" x14ac:dyDescent="0.2">
      <c r="A130" s="64" t="s">
        <v>572</v>
      </c>
      <c r="B130" s="16" t="s">
        <v>165</v>
      </c>
      <c r="C130" s="16" t="s">
        <v>184</v>
      </c>
      <c r="D130" s="33" t="s">
        <v>573</v>
      </c>
      <c r="E130" s="28"/>
      <c r="F130" s="32">
        <f>F131</f>
        <v>2380</v>
      </c>
      <c r="G130" s="32">
        <f>G131</f>
        <v>2380</v>
      </c>
      <c r="H130" s="32">
        <f t="shared" si="5"/>
        <v>100</v>
      </c>
    </row>
    <row r="131" spans="1:8" s="24" customFormat="1" x14ac:dyDescent="0.2">
      <c r="A131" s="68" t="s">
        <v>378</v>
      </c>
      <c r="B131" s="22" t="s">
        <v>165</v>
      </c>
      <c r="C131" s="22" t="s">
        <v>184</v>
      </c>
      <c r="D131" s="30" t="s">
        <v>573</v>
      </c>
      <c r="E131" s="23">
        <v>200</v>
      </c>
      <c r="F131" s="31">
        <f>F132</f>
        <v>2380</v>
      </c>
      <c r="G131" s="31">
        <f>G132</f>
        <v>2380</v>
      </c>
      <c r="H131" s="31">
        <f t="shared" si="5"/>
        <v>100</v>
      </c>
    </row>
    <row r="132" spans="1:8" s="24" customFormat="1" x14ac:dyDescent="0.2">
      <c r="A132" s="68" t="s">
        <v>176</v>
      </c>
      <c r="B132" s="22" t="s">
        <v>165</v>
      </c>
      <c r="C132" s="22" t="s">
        <v>184</v>
      </c>
      <c r="D132" s="30" t="s">
        <v>573</v>
      </c>
      <c r="E132" s="23">
        <v>240</v>
      </c>
      <c r="F132" s="31">
        <f>4165-2000+215</f>
        <v>2380</v>
      </c>
      <c r="G132" s="31">
        <v>2380</v>
      </c>
      <c r="H132" s="31">
        <f t="shared" si="5"/>
        <v>100</v>
      </c>
    </row>
    <row r="133" spans="1:8" s="24" customFormat="1" ht="24" x14ac:dyDescent="0.2">
      <c r="A133" s="64" t="s">
        <v>574</v>
      </c>
      <c r="B133" s="16" t="s">
        <v>165</v>
      </c>
      <c r="C133" s="16" t="s">
        <v>184</v>
      </c>
      <c r="D133" s="33" t="s">
        <v>575</v>
      </c>
      <c r="E133" s="28"/>
      <c r="F133" s="32">
        <f>F134</f>
        <v>2824</v>
      </c>
      <c r="G133" s="32">
        <f>G134</f>
        <v>1507.5809999999999</v>
      </c>
      <c r="H133" s="32">
        <f t="shared" si="5"/>
        <v>53.384596317280455</v>
      </c>
    </row>
    <row r="134" spans="1:8" s="24" customFormat="1" x14ac:dyDescent="0.2">
      <c r="A134" s="68" t="s">
        <v>378</v>
      </c>
      <c r="B134" s="22" t="s">
        <v>165</v>
      </c>
      <c r="C134" s="22" t="s">
        <v>184</v>
      </c>
      <c r="D134" s="30" t="s">
        <v>575</v>
      </c>
      <c r="E134" s="23">
        <v>200</v>
      </c>
      <c r="F134" s="31">
        <f>F135</f>
        <v>2824</v>
      </c>
      <c r="G134" s="31">
        <f>G135</f>
        <v>1507.5809999999999</v>
      </c>
      <c r="H134" s="31">
        <f t="shared" si="5"/>
        <v>53.384596317280455</v>
      </c>
    </row>
    <row r="135" spans="1:8" s="24" customFormat="1" x14ac:dyDescent="0.2">
      <c r="A135" s="68" t="s">
        <v>176</v>
      </c>
      <c r="B135" s="22" t="s">
        <v>165</v>
      </c>
      <c r="C135" s="22" t="s">
        <v>184</v>
      </c>
      <c r="D135" s="30" t="s">
        <v>575</v>
      </c>
      <c r="E135" s="23">
        <v>240</v>
      </c>
      <c r="F135" s="31">
        <f>20+4400-141-1240-215</f>
        <v>2824</v>
      </c>
      <c r="G135" s="31">
        <v>1507.5809999999999</v>
      </c>
      <c r="H135" s="31">
        <f t="shared" si="5"/>
        <v>53.384596317280455</v>
      </c>
    </row>
    <row r="136" spans="1:8" s="24" customFormat="1" ht="27" x14ac:dyDescent="0.2">
      <c r="A136" s="70" t="s">
        <v>374</v>
      </c>
      <c r="B136" s="43" t="s">
        <v>165</v>
      </c>
      <c r="C136" s="43" t="s">
        <v>184</v>
      </c>
      <c r="D136" s="77" t="s">
        <v>317</v>
      </c>
      <c r="E136" s="48"/>
      <c r="F136" s="99">
        <f t="shared" ref="F136:G138" si="9">F137</f>
        <v>183</v>
      </c>
      <c r="G136" s="99">
        <f t="shared" si="9"/>
        <v>182.922</v>
      </c>
      <c r="H136" s="47">
        <f t="shared" si="5"/>
        <v>99.957377049180323</v>
      </c>
    </row>
    <row r="137" spans="1:8" s="24" customFormat="1" ht="24" x14ac:dyDescent="0.2">
      <c r="A137" s="64" t="s">
        <v>333</v>
      </c>
      <c r="B137" s="16" t="s">
        <v>165</v>
      </c>
      <c r="C137" s="16" t="s">
        <v>184</v>
      </c>
      <c r="D137" s="33" t="s">
        <v>146</v>
      </c>
      <c r="E137" s="28"/>
      <c r="F137" s="95">
        <f t="shared" si="9"/>
        <v>183</v>
      </c>
      <c r="G137" s="95">
        <f t="shared" si="9"/>
        <v>182.922</v>
      </c>
      <c r="H137" s="32">
        <f t="shared" si="5"/>
        <v>99.957377049180323</v>
      </c>
    </row>
    <row r="138" spans="1:8" s="24" customFormat="1" x14ac:dyDescent="0.2">
      <c r="A138" s="68" t="s">
        <v>378</v>
      </c>
      <c r="B138" s="22" t="s">
        <v>165</v>
      </c>
      <c r="C138" s="22" t="s">
        <v>184</v>
      </c>
      <c r="D138" s="30" t="s">
        <v>146</v>
      </c>
      <c r="E138" s="23">
        <v>200</v>
      </c>
      <c r="F138" s="96">
        <f t="shared" si="9"/>
        <v>183</v>
      </c>
      <c r="G138" s="96">
        <f t="shared" si="9"/>
        <v>182.922</v>
      </c>
      <c r="H138" s="31">
        <f t="shared" si="5"/>
        <v>99.957377049180323</v>
      </c>
    </row>
    <row r="139" spans="1:8" s="24" customFormat="1" x14ac:dyDescent="0.2">
      <c r="A139" s="68" t="s">
        <v>176</v>
      </c>
      <c r="B139" s="22" t="s">
        <v>165</v>
      </c>
      <c r="C139" s="22" t="s">
        <v>184</v>
      </c>
      <c r="D139" s="30" t="s">
        <v>146</v>
      </c>
      <c r="E139" s="23">
        <v>240</v>
      </c>
      <c r="F139" s="96">
        <f>1720-1537</f>
        <v>183</v>
      </c>
      <c r="G139" s="96">
        <v>182.922</v>
      </c>
      <c r="H139" s="31">
        <f t="shared" ref="H139:H196" si="10">G139/F139*100</f>
        <v>99.957377049180323</v>
      </c>
    </row>
    <row r="140" spans="1:8" s="24" customFormat="1" ht="13.5" x14ac:dyDescent="0.2">
      <c r="A140" s="115" t="s">
        <v>147</v>
      </c>
      <c r="B140" s="43" t="s">
        <v>165</v>
      </c>
      <c r="C140" s="43" t="s">
        <v>184</v>
      </c>
      <c r="D140" s="43" t="s">
        <v>190</v>
      </c>
      <c r="E140" s="43"/>
      <c r="F140" s="47">
        <f t="shared" ref="F140:G143" si="11">F141</f>
        <v>616.4</v>
      </c>
      <c r="G140" s="47">
        <f t="shared" si="11"/>
        <v>576.84</v>
      </c>
      <c r="H140" s="35">
        <f t="shared" si="10"/>
        <v>93.582089552238813</v>
      </c>
    </row>
    <row r="141" spans="1:8" s="24" customFormat="1" x14ac:dyDescent="0.2">
      <c r="A141" s="50" t="s">
        <v>29</v>
      </c>
      <c r="B141" s="16" t="s">
        <v>165</v>
      </c>
      <c r="C141" s="16" t="s">
        <v>184</v>
      </c>
      <c r="D141" s="16" t="s">
        <v>32</v>
      </c>
      <c r="E141" s="16"/>
      <c r="F141" s="32">
        <f t="shared" si="11"/>
        <v>616.4</v>
      </c>
      <c r="G141" s="32">
        <f t="shared" si="11"/>
        <v>576.84</v>
      </c>
      <c r="H141" s="32">
        <f t="shared" si="10"/>
        <v>93.582089552238813</v>
      </c>
    </row>
    <row r="142" spans="1:8" s="24" customFormat="1" x14ac:dyDescent="0.2">
      <c r="A142" s="51" t="s">
        <v>30</v>
      </c>
      <c r="B142" s="17" t="s">
        <v>165</v>
      </c>
      <c r="C142" s="17" t="s">
        <v>184</v>
      </c>
      <c r="D142" s="17" t="s">
        <v>31</v>
      </c>
      <c r="E142" s="17"/>
      <c r="F142" s="35">
        <f t="shared" si="11"/>
        <v>616.4</v>
      </c>
      <c r="G142" s="35">
        <f t="shared" si="11"/>
        <v>576.84</v>
      </c>
      <c r="H142" s="32">
        <f t="shared" si="10"/>
        <v>93.582089552238813</v>
      </c>
    </row>
    <row r="143" spans="1:8" s="24" customFormat="1" ht="24" x14ac:dyDescent="0.2">
      <c r="A143" s="68" t="s">
        <v>168</v>
      </c>
      <c r="B143" s="22" t="s">
        <v>165</v>
      </c>
      <c r="C143" s="22" t="s">
        <v>184</v>
      </c>
      <c r="D143" s="22" t="s">
        <v>31</v>
      </c>
      <c r="E143" s="22" t="s">
        <v>169</v>
      </c>
      <c r="F143" s="31">
        <f t="shared" si="11"/>
        <v>616.4</v>
      </c>
      <c r="G143" s="31">
        <f t="shared" si="11"/>
        <v>576.84</v>
      </c>
      <c r="H143" s="31">
        <f t="shared" si="10"/>
        <v>93.582089552238813</v>
      </c>
    </row>
    <row r="144" spans="1:8" s="24" customFormat="1" x14ac:dyDescent="0.2">
      <c r="A144" s="68" t="s">
        <v>170</v>
      </c>
      <c r="B144" s="22" t="s">
        <v>165</v>
      </c>
      <c r="C144" s="22" t="s">
        <v>184</v>
      </c>
      <c r="D144" s="22" t="s">
        <v>31</v>
      </c>
      <c r="E144" s="22" t="s">
        <v>173</v>
      </c>
      <c r="F144" s="31">
        <f>800-83.6-100</f>
        <v>616.4</v>
      </c>
      <c r="G144" s="31">
        <v>576.84</v>
      </c>
      <c r="H144" s="31">
        <f t="shared" si="10"/>
        <v>93.582089552238813</v>
      </c>
    </row>
    <row r="145" spans="1:8" s="24" customFormat="1" x14ac:dyDescent="0.2">
      <c r="A145" s="65" t="s">
        <v>163</v>
      </c>
      <c r="B145" s="17" t="s">
        <v>165</v>
      </c>
      <c r="C145" s="17" t="s">
        <v>184</v>
      </c>
      <c r="D145" s="17" t="s">
        <v>293</v>
      </c>
      <c r="E145" s="17"/>
      <c r="F145" s="35">
        <f>F146+F182</f>
        <v>83954.640749999991</v>
      </c>
      <c r="G145" s="35">
        <f>G146+G182</f>
        <v>78364.441999999995</v>
      </c>
      <c r="H145" s="35">
        <f t="shared" si="10"/>
        <v>93.341405906736611</v>
      </c>
    </row>
    <row r="146" spans="1:8" s="24" customFormat="1" x14ac:dyDescent="0.2">
      <c r="A146" s="64" t="s">
        <v>381</v>
      </c>
      <c r="B146" s="16" t="s">
        <v>165</v>
      </c>
      <c r="C146" s="16" t="s">
        <v>184</v>
      </c>
      <c r="D146" s="16" t="s">
        <v>294</v>
      </c>
      <c r="E146" s="16"/>
      <c r="F146" s="32">
        <f>F147+F172+F175+F179</f>
        <v>81760.640749999991</v>
      </c>
      <c r="G146" s="32">
        <f>G147+G172+G175+G179</f>
        <v>76230.191999999995</v>
      </c>
      <c r="H146" s="32">
        <f t="shared" si="10"/>
        <v>93.235805518072596</v>
      </c>
    </row>
    <row r="147" spans="1:8" s="24" customFormat="1" x14ac:dyDescent="0.2">
      <c r="A147" s="69" t="s">
        <v>593</v>
      </c>
      <c r="B147" s="25" t="s">
        <v>165</v>
      </c>
      <c r="C147" s="25" t="s">
        <v>184</v>
      </c>
      <c r="D147" s="25" t="s">
        <v>294</v>
      </c>
      <c r="E147" s="17"/>
      <c r="F147" s="85">
        <f>F148+F155+F169+F162</f>
        <v>52177.2</v>
      </c>
      <c r="G147" s="85">
        <f>G148+G155+G169+G162</f>
        <v>51573.315999999999</v>
      </c>
      <c r="H147" s="85">
        <f t="shared" si="10"/>
        <v>98.842628581066066</v>
      </c>
    </row>
    <row r="148" spans="1:8" s="24" customFormat="1" x14ac:dyDescent="0.2">
      <c r="A148" s="64" t="s">
        <v>127</v>
      </c>
      <c r="B148" s="16" t="s">
        <v>165</v>
      </c>
      <c r="C148" s="16" t="s">
        <v>184</v>
      </c>
      <c r="D148" s="16" t="s">
        <v>409</v>
      </c>
      <c r="E148" s="16"/>
      <c r="F148" s="32">
        <f>F149+F151+F153</f>
        <v>41147.199999999997</v>
      </c>
      <c r="G148" s="32">
        <f>G149+G151+G153</f>
        <v>40879.997000000003</v>
      </c>
      <c r="H148" s="32">
        <f t="shared" si="10"/>
        <v>99.350616809892301</v>
      </c>
    </row>
    <row r="149" spans="1:8" s="24" customFormat="1" ht="24" x14ac:dyDescent="0.2">
      <c r="A149" s="68" t="s">
        <v>168</v>
      </c>
      <c r="B149" s="22" t="s">
        <v>165</v>
      </c>
      <c r="C149" s="22" t="s">
        <v>184</v>
      </c>
      <c r="D149" s="22" t="s">
        <v>409</v>
      </c>
      <c r="E149" s="22" t="s">
        <v>169</v>
      </c>
      <c r="F149" s="31">
        <f>F150</f>
        <v>33312.261899999998</v>
      </c>
      <c r="G149" s="31">
        <f>G150</f>
        <v>33309.5</v>
      </c>
      <c r="H149" s="31">
        <f t="shared" si="10"/>
        <v>99.991709058939648</v>
      </c>
    </row>
    <row r="150" spans="1:8" s="24" customFormat="1" x14ac:dyDescent="0.2">
      <c r="A150" s="68" t="s">
        <v>594</v>
      </c>
      <c r="B150" s="22" t="s">
        <v>165</v>
      </c>
      <c r="C150" s="22" t="s">
        <v>184</v>
      </c>
      <c r="D150" s="22" t="s">
        <v>409</v>
      </c>
      <c r="E150" s="22" t="s">
        <v>595</v>
      </c>
      <c r="F150" s="31">
        <f>35644-460-2200-1000+855.0619+473.2</f>
        <v>33312.261899999998</v>
      </c>
      <c r="G150" s="31">
        <v>33309.5</v>
      </c>
      <c r="H150" s="31">
        <f t="shared" si="10"/>
        <v>99.991709058939648</v>
      </c>
    </row>
    <row r="151" spans="1:8" s="24" customFormat="1" x14ac:dyDescent="0.2">
      <c r="A151" s="68" t="s">
        <v>378</v>
      </c>
      <c r="B151" s="22" t="s">
        <v>165</v>
      </c>
      <c r="C151" s="22" t="s">
        <v>184</v>
      </c>
      <c r="D151" s="22" t="s">
        <v>409</v>
      </c>
      <c r="E151" s="22" t="s">
        <v>175</v>
      </c>
      <c r="F151" s="31">
        <f>F152</f>
        <v>7754.9381000000003</v>
      </c>
      <c r="G151" s="31">
        <f>G152</f>
        <v>7530.3</v>
      </c>
      <c r="H151" s="31">
        <f t="shared" si="10"/>
        <v>97.103289580093488</v>
      </c>
    </row>
    <row r="152" spans="1:8" s="24" customFormat="1" x14ac:dyDescent="0.2">
      <c r="A152" s="68" t="s">
        <v>176</v>
      </c>
      <c r="B152" s="22" t="s">
        <v>165</v>
      </c>
      <c r="C152" s="22" t="s">
        <v>184</v>
      </c>
      <c r="D152" s="22" t="s">
        <v>409</v>
      </c>
      <c r="E152" s="22" t="s">
        <v>177</v>
      </c>
      <c r="F152" s="31">
        <f>5780+460+2200-685.0619</f>
        <v>7754.9381000000003</v>
      </c>
      <c r="G152" s="31">
        <v>7530.3</v>
      </c>
      <c r="H152" s="31">
        <f t="shared" si="10"/>
        <v>97.103289580093488</v>
      </c>
    </row>
    <row r="153" spans="1:8" s="24" customFormat="1" x14ac:dyDescent="0.2">
      <c r="A153" s="68" t="s">
        <v>178</v>
      </c>
      <c r="B153" s="22" t="s">
        <v>165</v>
      </c>
      <c r="C153" s="22" t="s">
        <v>184</v>
      </c>
      <c r="D153" s="22" t="s">
        <v>409</v>
      </c>
      <c r="E153" s="22" t="s">
        <v>179</v>
      </c>
      <c r="F153" s="31">
        <f>F154</f>
        <v>80</v>
      </c>
      <c r="G153" s="31">
        <f>G154</f>
        <v>40.197000000000003</v>
      </c>
      <c r="H153" s="31">
        <f t="shared" si="10"/>
        <v>50.246250000000003</v>
      </c>
    </row>
    <row r="154" spans="1:8" s="24" customFormat="1" x14ac:dyDescent="0.2">
      <c r="A154" s="68" t="s">
        <v>87</v>
      </c>
      <c r="B154" s="22" t="s">
        <v>165</v>
      </c>
      <c r="C154" s="22" t="s">
        <v>184</v>
      </c>
      <c r="D154" s="22" t="s">
        <v>409</v>
      </c>
      <c r="E154" s="22" t="s">
        <v>180</v>
      </c>
      <c r="F154" s="31">
        <f>250-170</f>
        <v>80</v>
      </c>
      <c r="G154" s="31">
        <v>40.197000000000003</v>
      </c>
      <c r="H154" s="31">
        <f t="shared" si="10"/>
        <v>50.246250000000003</v>
      </c>
    </row>
    <row r="155" spans="1:8" s="24" customFormat="1" x14ac:dyDescent="0.2">
      <c r="A155" s="64" t="s">
        <v>109</v>
      </c>
      <c r="B155" s="16" t="s">
        <v>165</v>
      </c>
      <c r="C155" s="16" t="s">
        <v>184</v>
      </c>
      <c r="D155" s="16" t="s">
        <v>415</v>
      </c>
      <c r="E155" s="16"/>
      <c r="F155" s="32">
        <f>F156+F158+F160</f>
        <v>925</v>
      </c>
      <c r="G155" s="32">
        <f>G156+G158+G160</f>
        <v>765.33999999999992</v>
      </c>
      <c r="H155" s="32">
        <f t="shared" si="10"/>
        <v>82.739459459459454</v>
      </c>
    </row>
    <row r="156" spans="1:8" s="24" customFormat="1" ht="24" x14ac:dyDescent="0.2">
      <c r="A156" s="68" t="s">
        <v>168</v>
      </c>
      <c r="B156" s="22" t="s">
        <v>165</v>
      </c>
      <c r="C156" s="22" t="s">
        <v>184</v>
      </c>
      <c r="D156" s="22" t="s">
        <v>415</v>
      </c>
      <c r="E156" s="22" t="s">
        <v>169</v>
      </c>
      <c r="F156" s="31">
        <f>F157</f>
        <v>715</v>
      </c>
      <c r="G156" s="31">
        <f>G157</f>
        <v>665.8</v>
      </c>
      <c r="H156" s="31">
        <f t="shared" si="10"/>
        <v>93.11888111888112</v>
      </c>
    </row>
    <row r="157" spans="1:8" s="24" customFormat="1" x14ac:dyDescent="0.2">
      <c r="A157" s="68" t="s">
        <v>594</v>
      </c>
      <c r="B157" s="22" t="s">
        <v>165</v>
      </c>
      <c r="C157" s="22" t="s">
        <v>184</v>
      </c>
      <c r="D157" s="22" t="s">
        <v>415</v>
      </c>
      <c r="E157" s="22" t="s">
        <v>595</v>
      </c>
      <c r="F157" s="31">
        <f>5650+145+1700-1500-5670+390</f>
        <v>715</v>
      </c>
      <c r="G157" s="31">
        <v>665.8</v>
      </c>
      <c r="H157" s="31">
        <f t="shared" si="10"/>
        <v>93.11888111888112</v>
      </c>
    </row>
    <row r="158" spans="1:8" s="24" customFormat="1" x14ac:dyDescent="0.2">
      <c r="A158" s="68" t="s">
        <v>186</v>
      </c>
      <c r="B158" s="22" t="s">
        <v>165</v>
      </c>
      <c r="C158" s="22" t="s">
        <v>184</v>
      </c>
      <c r="D158" s="22" t="s">
        <v>415</v>
      </c>
      <c r="E158" s="22" t="s">
        <v>185</v>
      </c>
      <c r="F158" s="31">
        <f>F159</f>
        <v>205</v>
      </c>
      <c r="G158" s="31">
        <f>G159</f>
        <v>95.24</v>
      </c>
      <c r="H158" s="31">
        <f t="shared" si="10"/>
        <v>46.458536585365849</v>
      </c>
    </row>
    <row r="159" spans="1:8" s="24" customFormat="1" x14ac:dyDescent="0.2">
      <c r="A159" s="68" t="s">
        <v>187</v>
      </c>
      <c r="B159" s="22" t="s">
        <v>165</v>
      </c>
      <c r="C159" s="22" t="s">
        <v>184</v>
      </c>
      <c r="D159" s="22" t="s">
        <v>415</v>
      </c>
      <c r="E159" s="22" t="s">
        <v>188</v>
      </c>
      <c r="F159" s="31">
        <f>600-390-5</f>
        <v>205</v>
      </c>
      <c r="G159" s="31">
        <v>95.24</v>
      </c>
      <c r="H159" s="31">
        <f t="shared" si="10"/>
        <v>46.458536585365849</v>
      </c>
    </row>
    <row r="160" spans="1:8" s="24" customFormat="1" x14ac:dyDescent="0.2">
      <c r="A160" s="68" t="s">
        <v>378</v>
      </c>
      <c r="B160" s="22" t="s">
        <v>165</v>
      </c>
      <c r="C160" s="22" t="s">
        <v>184</v>
      </c>
      <c r="D160" s="22" t="s">
        <v>415</v>
      </c>
      <c r="E160" s="22" t="s">
        <v>175</v>
      </c>
      <c r="F160" s="31">
        <f>F161</f>
        <v>5</v>
      </c>
      <c r="G160" s="31">
        <f>G161</f>
        <v>4.3</v>
      </c>
      <c r="H160" s="31">
        <f t="shared" si="10"/>
        <v>86</v>
      </c>
    </row>
    <row r="161" spans="1:8" s="24" customFormat="1" x14ac:dyDescent="0.2">
      <c r="A161" s="68" t="s">
        <v>176</v>
      </c>
      <c r="B161" s="22" t="s">
        <v>165</v>
      </c>
      <c r="C161" s="22" t="s">
        <v>184</v>
      </c>
      <c r="D161" s="22" t="s">
        <v>415</v>
      </c>
      <c r="E161" s="22" t="s">
        <v>177</v>
      </c>
      <c r="F161" s="31">
        <v>5</v>
      </c>
      <c r="G161" s="31">
        <v>4.3</v>
      </c>
      <c r="H161" s="31">
        <f t="shared" si="10"/>
        <v>86</v>
      </c>
    </row>
    <row r="162" spans="1:8" s="24" customFormat="1" x14ac:dyDescent="0.2">
      <c r="A162" s="64" t="s">
        <v>589</v>
      </c>
      <c r="B162" s="16" t="s">
        <v>165</v>
      </c>
      <c r="C162" s="16" t="s">
        <v>184</v>
      </c>
      <c r="D162" s="16" t="s">
        <v>590</v>
      </c>
      <c r="E162" s="16"/>
      <c r="F162" s="32">
        <f>F163+F165+F167</f>
        <v>7755</v>
      </c>
      <c r="G162" s="32">
        <f>G163+G165+G167</f>
        <v>7662.0789999999997</v>
      </c>
      <c r="H162" s="32">
        <f t="shared" si="10"/>
        <v>98.801792392005154</v>
      </c>
    </row>
    <row r="163" spans="1:8" s="24" customFormat="1" ht="24" x14ac:dyDescent="0.2">
      <c r="A163" s="68" t="s">
        <v>168</v>
      </c>
      <c r="B163" s="22" t="s">
        <v>165</v>
      </c>
      <c r="C163" s="22" t="s">
        <v>184</v>
      </c>
      <c r="D163" s="22" t="s">
        <v>590</v>
      </c>
      <c r="E163" s="22" t="s">
        <v>169</v>
      </c>
      <c r="F163" s="31">
        <f>F164</f>
        <v>7570</v>
      </c>
      <c r="G163" s="31">
        <f>G164</f>
        <v>7564.5789999999997</v>
      </c>
      <c r="H163" s="31">
        <f t="shared" si="10"/>
        <v>99.928388375165127</v>
      </c>
    </row>
    <row r="164" spans="1:8" s="24" customFormat="1" x14ac:dyDescent="0.2">
      <c r="A164" s="68" t="s">
        <v>594</v>
      </c>
      <c r="B164" s="22" t="s">
        <v>165</v>
      </c>
      <c r="C164" s="22" t="s">
        <v>184</v>
      </c>
      <c r="D164" s="22" t="s">
        <v>590</v>
      </c>
      <c r="E164" s="22" t="s">
        <v>595</v>
      </c>
      <c r="F164" s="31">
        <f>5070+2500</f>
        <v>7570</v>
      </c>
      <c r="G164" s="31">
        <v>7564.5789999999997</v>
      </c>
      <c r="H164" s="31">
        <f t="shared" si="10"/>
        <v>99.928388375165127</v>
      </c>
    </row>
    <row r="165" spans="1:8" s="24" customFormat="1" x14ac:dyDescent="0.2">
      <c r="A165" s="68" t="s">
        <v>378</v>
      </c>
      <c r="B165" s="22" t="s">
        <v>165</v>
      </c>
      <c r="C165" s="22" t="s">
        <v>184</v>
      </c>
      <c r="D165" s="22" t="s">
        <v>590</v>
      </c>
      <c r="E165" s="22" t="s">
        <v>175</v>
      </c>
      <c r="F165" s="31">
        <f>F166</f>
        <v>170</v>
      </c>
      <c r="G165" s="31">
        <f>G166</f>
        <v>92.7</v>
      </c>
      <c r="H165" s="31">
        <f t="shared" si="10"/>
        <v>54.529411764705884</v>
      </c>
    </row>
    <row r="166" spans="1:8" s="24" customFormat="1" x14ac:dyDescent="0.2">
      <c r="A166" s="68" t="s">
        <v>176</v>
      </c>
      <c r="B166" s="22" t="s">
        <v>165</v>
      </c>
      <c r="C166" s="22" t="s">
        <v>184</v>
      </c>
      <c r="D166" s="22" t="s">
        <v>590</v>
      </c>
      <c r="E166" s="22" t="s">
        <v>177</v>
      </c>
      <c r="F166" s="31">
        <f>270-100</f>
        <v>170</v>
      </c>
      <c r="G166" s="31">
        <v>92.7</v>
      </c>
      <c r="H166" s="31">
        <f t="shared" si="10"/>
        <v>54.529411764705884</v>
      </c>
    </row>
    <row r="167" spans="1:8" s="24" customFormat="1" x14ac:dyDescent="0.2">
      <c r="A167" s="68" t="s">
        <v>178</v>
      </c>
      <c r="B167" s="22" t="s">
        <v>165</v>
      </c>
      <c r="C167" s="22" t="s">
        <v>184</v>
      </c>
      <c r="D167" s="22" t="s">
        <v>590</v>
      </c>
      <c r="E167" s="22" t="s">
        <v>179</v>
      </c>
      <c r="F167" s="31">
        <f>F168</f>
        <v>15</v>
      </c>
      <c r="G167" s="31">
        <f>G168</f>
        <v>4.8</v>
      </c>
      <c r="H167" s="31">
        <f t="shared" si="10"/>
        <v>32</v>
      </c>
    </row>
    <row r="168" spans="1:8" s="24" customFormat="1" x14ac:dyDescent="0.2">
      <c r="A168" s="68" t="s">
        <v>87</v>
      </c>
      <c r="B168" s="22" t="s">
        <v>165</v>
      </c>
      <c r="C168" s="22" t="s">
        <v>184</v>
      </c>
      <c r="D168" s="22" t="s">
        <v>590</v>
      </c>
      <c r="E168" s="22" t="s">
        <v>180</v>
      </c>
      <c r="F168" s="31">
        <v>15</v>
      </c>
      <c r="G168" s="31">
        <v>4.8</v>
      </c>
      <c r="H168" s="31">
        <f t="shared" si="10"/>
        <v>32</v>
      </c>
    </row>
    <row r="169" spans="1:8" s="24" customFormat="1" x14ac:dyDescent="0.2">
      <c r="A169" s="64" t="s">
        <v>213</v>
      </c>
      <c r="B169" s="16" t="s">
        <v>165</v>
      </c>
      <c r="C169" s="16" t="s">
        <v>184</v>
      </c>
      <c r="D169" s="16" t="s">
        <v>416</v>
      </c>
      <c r="E169" s="16"/>
      <c r="F169" s="32">
        <f>F170</f>
        <v>2350</v>
      </c>
      <c r="G169" s="32">
        <f>G170</f>
        <v>2265.9</v>
      </c>
      <c r="H169" s="32">
        <f t="shared" si="10"/>
        <v>96.421276595744686</v>
      </c>
    </row>
    <row r="170" spans="1:8" s="24" customFormat="1" x14ac:dyDescent="0.2">
      <c r="A170" s="68" t="s">
        <v>191</v>
      </c>
      <c r="B170" s="22" t="s">
        <v>165</v>
      </c>
      <c r="C170" s="22" t="s">
        <v>184</v>
      </c>
      <c r="D170" s="22" t="s">
        <v>416</v>
      </c>
      <c r="E170" s="22" t="s">
        <v>522</v>
      </c>
      <c r="F170" s="31">
        <f>F171</f>
        <v>2350</v>
      </c>
      <c r="G170" s="31">
        <f>G171</f>
        <v>2265.9</v>
      </c>
      <c r="H170" s="31">
        <f t="shared" si="10"/>
        <v>96.421276595744686</v>
      </c>
    </row>
    <row r="171" spans="1:8" s="24" customFormat="1" x14ac:dyDescent="0.2">
      <c r="A171" s="68" t="s">
        <v>192</v>
      </c>
      <c r="B171" s="22" t="s">
        <v>165</v>
      </c>
      <c r="C171" s="22" t="s">
        <v>184</v>
      </c>
      <c r="D171" s="22" t="s">
        <v>416</v>
      </c>
      <c r="E171" s="22" t="s">
        <v>536</v>
      </c>
      <c r="F171" s="31">
        <f>1600+250+300+200</f>
        <v>2350</v>
      </c>
      <c r="G171" s="31">
        <v>2265.9</v>
      </c>
      <c r="H171" s="31">
        <f t="shared" si="10"/>
        <v>96.421276595744686</v>
      </c>
    </row>
    <row r="172" spans="1:8" s="24" customFormat="1" ht="24" x14ac:dyDescent="0.2">
      <c r="A172" s="64" t="s">
        <v>215</v>
      </c>
      <c r="B172" s="16" t="s">
        <v>165</v>
      </c>
      <c r="C172" s="16" t="s">
        <v>184</v>
      </c>
      <c r="D172" s="16" t="s">
        <v>134</v>
      </c>
      <c r="E172" s="16"/>
      <c r="F172" s="32">
        <f>F173</f>
        <v>21000</v>
      </c>
      <c r="G172" s="32">
        <f>G173</f>
        <v>16193.6</v>
      </c>
      <c r="H172" s="32">
        <f t="shared" si="10"/>
        <v>77.11238095238096</v>
      </c>
    </row>
    <row r="173" spans="1:8" s="24" customFormat="1" x14ac:dyDescent="0.2">
      <c r="A173" s="68" t="s">
        <v>178</v>
      </c>
      <c r="B173" s="22" t="s">
        <v>165</v>
      </c>
      <c r="C173" s="22" t="s">
        <v>184</v>
      </c>
      <c r="D173" s="22" t="s">
        <v>134</v>
      </c>
      <c r="E173" s="22" t="s">
        <v>179</v>
      </c>
      <c r="F173" s="31">
        <f>F174</f>
        <v>21000</v>
      </c>
      <c r="G173" s="31">
        <f>G174</f>
        <v>16193.6</v>
      </c>
      <c r="H173" s="31">
        <f t="shared" si="10"/>
        <v>77.11238095238096</v>
      </c>
    </row>
    <row r="174" spans="1:8" s="24" customFormat="1" x14ac:dyDescent="0.2">
      <c r="A174" s="68" t="s">
        <v>87</v>
      </c>
      <c r="B174" s="22" t="s">
        <v>165</v>
      </c>
      <c r="C174" s="22" t="s">
        <v>184</v>
      </c>
      <c r="D174" s="22" t="s">
        <v>134</v>
      </c>
      <c r="E174" s="22" t="s">
        <v>180</v>
      </c>
      <c r="F174" s="31">
        <f>28500+10000-2500-15000</f>
        <v>21000</v>
      </c>
      <c r="G174" s="31">
        <v>16193.6</v>
      </c>
      <c r="H174" s="31">
        <f t="shared" si="10"/>
        <v>77.11238095238096</v>
      </c>
    </row>
    <row r="175" spans="1:8" s="24" customFormat="1" x14ac:dyDescent="0.2">
      <c r="A175" s="64" t="s">
        <v>406</v>
      </c>
      <c r="B175" s="16" t="s">
        <v>165</v>
      </c>
      <c r="C175" s="16" t="s">
        <v>184</v>
      </c>
      <c r="D175" s="33" t="s">
        <v>104</v>
      </c>
      <c r="E175" s="16"/>
      <c r="F175" s="95">
        <f>F176</f>
        <v>8243.4407499999998</v>
      </c>
      <c r="G175" s="95">
        <f>G176</f>
        <v>8127</v>
      </c>
      <c r="H175" s="32">
        <f t="shared" si="10"/>
        <v>98.587473925860394</v>
      </c>
    </row>
    <row r="176" spans="1:8" s="24" customFormat="1" x14ac:dyDescent="0.2">
      <c r="A176" s="68" t="s">
        <v>178</v>
      </c>
      <c r="B176" s="22" t="s">
        <v>165</v>
      </c>
      <c r="C176" s="22" t="s">
        <v>184</v>
      </c>
      <c r="D176" s="30" t="s">
        <v>104</v>
      </c>
      <c r="E176" s="22" t="s">
        <v>179</v>
      </c>
      <c r="F176" s="96">
        <f>F177+F178</f>
        <v>8243.4407499999998</v>
      </c>
      <c r="G176" s="96">
        <f>G177+G178</f>
        <v>8127</v>
      </c>
      <c r="H176" s="31">
        <f t="shared" si="10"/>
        <v>98.587473925860394</v>
      </c>
    </row>
    <row r="177" spans="1:8" s="24" customFormat="1" x14ac:dyDescent="0.2">
      <c r="A177" s="68" t="s">
        <v>228</v>
      </c>
      <c r="B177" s="22" t="s">
        <v>165</v>
      </c>
      <c r="C177" s="22" t="s">
        <v>184</v>
      </c>
      <c r="D177" s="30" t="s">
        <v>104</v>
      </c>
      <c r="E177" s="22" t="s">
        <v>232</v>
      </c>
      <c r="F177" s="96">
        <v>8233.4407499999998</v>
      </c>
      <c r="G177" s="96">
        <v>8127</v>
      </c>
      <c r="H177" s="31">
        <f t="shared" si="10"/>
        <v>98.707214234826438</v>
      </c>
    </row>
    <row r="178" spans="1:8" s="24" customFormat="1" x14ac:dyDescent="0.2">
      <c r="A178" s="68" t="s">
        <v>87</v>
      </c>
      <c r="B178" s="22" t="s">
        <v>165</v>
      </c>
      <c r="C178" s="22" t="s">
        <v>184</v>
      </c>
      <c r="D178" s="30" t="s">
        <v>104</v>
      </c>
      <c r="E178" s="22" t="s">
        <v>180</v>
      </c>
      <c r="F178" s="96">
        <f>10+20-20</f>
        <v>10</v>
      </c>
      <c r="G178" s="96">
        <v>0</v>
      </c>
      <c r="H178" s="96">
        <f t="shared" si="10"/>
        <v>0</v>
      </c>
    </row>
    <row r="179" spans="1:8" s="24" customFormat="1" ht="24" x14ac:dyDescent="0.2">
      <c r="A179" s="64" t="s">
        <v>391</v>
      </c>
      <c r="B179" s="16" t="s">
        <v>165</v>
      </c>
      <c r="C179" s="16" t="s">
        <v>184</v>
      </c>
      <c r="D179" s="16" t="s">
        <v>205</v>
      </c>
      <c r="E179" s="28"/>
      <c r="F179" s="32">
        <f>F180</f>
        <v>340</v>
      </c>
      <c r="G179" s="32">
        <f>G180</f>
        <v>336.27600000000001</v>
      </c>
      <c r="H179" s="32">
        <f t="shared" si="10"/>
        <v>98.904705882352943</v>
      </c>
    </row>
    <row r="180" spans="1:8" s="24" customFormat="1" x14ac:dyDescent="0.2">
      <c r="A180" s="68" t="s">
        <v>378</v>
      </c>
      <c r="B180" s="22" t="s">
        <v>165</v>
      </c>
      <c r="C180" s="22" t="s">
        <v>184</v>
      </c>
      <c r="D180" s="22" t="s">
        <v>205</v>
      </c>
      <c r="E180" s="23">
        <v>200</v>
      </c>
      <c r="F180" s="31">
        <f>F181</f>
        <v>340</v>
      </c>
      <c r="G180" s="31">
        <f>G181</f>
        <v>336.27600000000001</v>
      </c>
      <c r="H180" s="31">
        <f t="shared" si="10"/>
        <v>98.904705882352943</v>
      </c>
    </row>
    <row r="181" spans="1:8" s="24" customFormat="1" x14ac:dyDescent="0.2">
      <c r="A181" s="68" t="s">
        <v>176</v>
      </c>
      <c r="B181" s="22" t="s">
        <v>165</v>
      </c>
      <c r="C181" s="22" t="s">
        <v>184</v>
      </c>
      <c r="D181" s="22" t="s">
        <v>205</v>
      </c>
      <c r="E181" s="22" t="s">
        <v>177</v>
      </c>
      <c r="F181" s="31">
        <f>1000-660</f>
        <v>340</v>
      </c>
      <c r="G181" s="31">
        <v>336.27600000000001</v>
      </c>
      <c r="H181" s="31">
        <f t="shared" si="10"/>
        <v>98.904705882352943</v>
      </c>
    </row>
    <row r="182" spans="1:8" s="24" customFormat="1" x14ac:dyDescent="0.2">
      <c r="A182" s="67" t="s">
        <v>103</v>
      </c>
      <c r="B182" s="17" t="s">
        <v>165</v>
      </c>
      <c r="C182" s="17" t="s">
        <v>184</v>
      </c>
      <c r="D182" s="17" t="s">
        <v>293</v>
      </c>
      <c r="E182" s="17"/>
      <c r="F182" s="35">
        <f t="shared" ref="F182:G186" si="12">F183</f>
        <v>2194</v>
      </c>
      <c r="G182" s="35">
        <f t="shared" si="12"/>
        <v>2134.25</v>
      </c>
      <c r="H182" s="35">
        <f t="shared" si="10"/>
        <v>97.276663628076577</v>
      </c>
    </row>
    <row r="183" spans="1:8" s="24" customFormat="1" x14ac:dyDescent="0.2">
      <c r="A183" s="64" t="s">
        <v>193</v>
      </c>
      <c r="B183" s="16" t="s">
        <v>165</v>
      </c>
      <c r="C183" s="16" t="s">
        <v>184</v>
      </c>
      <c r="D183" s="16" t="s">
        <v>294</v>
      </c>
      <c r="E183" s="16"/>
      <c r="F183" s="32">
        <f t="shared" si="12"/>
        <v>2194</v>
      </c>
      <c r="G183" s="32">
        <f t="shared" si="12"/>
        <v>2134.25</v>
      </c>
      <c r="H183" s="32">
        <f t="shared" si="10"/>
        <v>97.276663628076577</v>
      </c>
    </row>
    <row r="184" spans="1:8" s="24" customFormat="1" ht="24" x14ac:dyDescent="0.2">
      <c r="A184" s="69" t="s">
        <v>97</v>
      </c>
      <c r="B184" s="25" t="s">
        <v>165</v>
      </c>
      <c r="C184" s="25" t="s">
        <v>184</v>
      </c>
      <c r="D184" s="25" t="s">
        <v>310</v>
      </c>
      <c r="E184" s="25"/>
      <c r="F184" s="85">
        <f t="shared" si="12"/>
        <v>2194</v>
      </c>
      <c r="G184" s="85">
        <f t="shared" si="12"/>
        <v>2134.25</v>
      </c>
      <c r="H184" s="85">
        <f t="shared" si="10"/>
        <v>97.276663628076577</v>
      </c>
    </row>
    <row r="185" spans="1:8" s="24" customFormat="1" x14ac:dyDescent="0.2">
      <c r="A185" s="66" t="s">
        <v>105</v>
      </c>
      <c r="B185" s="16" t="s">
        <v>165</v>
      </c>
      <c r="C185" s="16" t="s">
        <v>184</v>
      </c>
      <c r="D185" s="16" t="s">
        <v>310</v>
      </c>
      <c r="E185" s="16"/>
      <c r="F185" s="32">
        <f t="shared" si="12"/>
        <v>2194</v>
      </c>
      <c r="G185" s="32">
        <f t="shared" si="12"/>
        <v>2134.25</v>
      </c>
      <c r="H185" s="32">
        <f t="shared" si="10"/>
        <v>97.276663628076577</v>
      </c>
    </row>
    <row r="186" spans="1:8" s="24" customFormat="1" ht="24" x14ac:dyDescent="0.2">
      <c r="A186" s="68" t="s">
        <v>168</v>
      </c>
      <c r="B186" s="22" t="s">
        <v>165</v>
      </c>
      <c r="C186" s="22" t="s">
        <v>184</v>
      </c>
      <c r="D186" s="22" t="s">
        <v>310</v>
      </c>
      <c r="E186" s="22" t="s">
        <v>169</v>
      </c>
      <c r="F186" s="31">
        <f t="shared" si="12"/>
        <v>2194</v>
      </c>
      <c r="G186" s="31">
        <f t="shared" si="12"/>
        <v>2134.25</v>
      </c>
      <c r="H186" s="31">
        <f t="shared" si="10"/>
        <v>97.276663628076577</v>
      </c>
    </row>
    <row r="187" spans="1:8" s="24" customFormat="1" x14ac:dyDescent="0.2">
      <c r="A187" s="68" t="s">
        <v>170</v>
      </c>
      <c r="B187" s="22" t="s">
        <v>165</v>
      </c>
      <c r="C187" s="22" t="s">
        <v>184</v>
      </c>
      <c r="D187" s="22" t="s">
        <v>310</v>
      </c>
      <c r="E187" s="22" t="s">
        <v>173</v>
      </c>
      <c r="F187" s="31">
        <v>2194</v>
      </c>
      <c r="G187" s="31">
        <v>2134.25</v>
      </c>
      <c r="H187" s="31">
        <f t="shared" si="10"/>
        <v>97.276663628076577</v>
      </c>
    </row>
    <row r="188" spans="1:8" s="24" customFormat="1" x14ac:dyDescent="0.2">
      <c r="A188" s="64" t="s">
        <v>407</v>
      </c>
      <c r="B188" s="16" t="s">
        <v>591</v>
      </c>
      <c r="C188" s="16" t="s">
        <v>166</v>
      </c>
      <c r="D188" s="16"/>
      <c r="E188" s="16"/>
      <c r="F188" s="32">
        <f t="shared" ref="F188:G190" si="13">F189</f>
        <v>3655.6</v>
      </c>
      <c r="G188" s="32">
        <f t="shared" si="13"/>
        <v>3638.6879999999996</v>
      </c>
      <c r="H188" s="32">
        <f t="shared" si="10"/>
        <v>99.537367326841007</v>
      </c>
    </row>
    <row r="189" spans="1:8" s="24" customFormat="1" ht="24" x14ac:dyDescent="0.2">
      <c r="A189" s="64" t="s">
        <v>474</v>
      </c>
      <c r="B189" s="16" t="s">
        <v>591</v>
      </c>
      <c r="C189" s="16" t="s">
        <v>592</v>
      </c>
      <c r="D189" s="16"/>
      <c r="E189" s="16"/>
      <c r="F189" s="32">
        <f t="shared" si="13"/>
        <v>3655.6</v>
      </c>
      <c r="G189" s="32">
        <f t="shared" si="13"/>
        <v>3638.6879999999996</v>
      </c>
      <c r="H189" s="32">
        <f t="shared" si="10"/>
        <v>99.537367326841007</v>
      </c>
    </row>
    <row r="190" spans="1:8" s="24" customFormat="1" x14ac:dyDescent="0.2">
      <c r="A190" s="67" t="s">
        <v>567</v>
      </c>
      <c r="B190" s="17" t="s">
        <v>591</v>
      </c>
      <c r="C190" s="17" t="s">
        <v>592</v>
      </c>
      <c r="D190" s="17" t="s">
        <v>293</v>
      </c>
      <c r="E190" s="17"/>
      <c r="F190" s="35">
        <f t="shared" si="13"/>
        <v>3655.6</v>
      </c>
      <c r="G190" s="35">
        <f t="shared" si="13"/>
        <v>3638.6879999999996</v>
      </c>
      <c r="H190" s="35">
        <f t="shared" si="10"/>
        <v>99.537367326841007</v>
      </c>
    </row>
    <row r="191" spans="1:8" s="24" customFormat="1" x14ac:dyDescent="0.2">
      <c r="A191" s="64" t="s">
        <v>381</v>
      </c>
      <c r="B191" s="16" t="s">
        <v>591</v>
      </c>
      <c r="C191" s="16" t="s">
        <v>592</v>
      </c>
      <c r="D191" s="16" t="s">
        <v>294</v>
      </c>
      <c r="E191" s="16"/>
      <c r="F191" s="32">
        <f>F192</f>
        <v>3655.6</v>
      </c>
      <c r="G191" s="32">
        <f>G192</f>
        <v>3638.6879999999996</v>
      </c>
      <c r="H191" s="32">
        <f t="shared" si="10"/>
        <v>99.537367326841007</v>
      </c>
    </row>
    <row r="192" spans="1:8" s="24" customFormat="1" x14ac:dyDescent="0.2">
      <c r="A192" s="69" t="s">
        <v>593</v>
      </c>
      <c r="B192" s="25" t="s">
        <v>591</v>
      </c>
      <c r="C192" s="25" t="s">
        <v>592</v>
      </c>
      <c r="D192" s="25" t="s">
        <v>294</v>
      </c>
      <c r="E192" s="25"/>
      <c r="F192" s="85">
        <f>F193</f>
        <v>3655.6</v>
      </c>
      <c r="G192" s="85">
        <f>G193</f>
        <v>3638.6879999999996</v>
      </c>
      <c r="H192" s="85">
        <f t="shared" si="10"/>
        <v>99.537367326841007</v>
      </c>
    </row>
    <row r="193" spans="1:8" s="24" customFormat="1" x14ac:dyDescent="0.2">
      <c r="A193" s="64" t="s">
        <v>119</v>
      </c>
      <c r="B193" s="16" t="s">
        <v>591</v>
      </c>
      <c r="C193" s="16" t="s">
        <v>592</v>
      </c>
      <c r="D193" s="16" t="s">
        <v>442</v>
      </c>
      <c r="E193" s="16"/>
      <c r="F193" s="32">
        <f>F194+F196+F198</f>
        <v>3655.6</v>
      </c>
      <c r="G193" s="32">
        <f>G194+G196+G198</f>
        <v>3638.6879999999996</v>
      </c>
      <c r="H193" s="32">
        <f t="shared" si="10"/>
        <v>99.537367326841007</v>
      </c>
    </row>
    <row r="194" spans="1:8" s="24" customFormat="1" ht="24" x14ac:dyDescent="0.2">
      <c r="A194" s="68" t="s">
        <v>168</v>
      </c>
      <c r="B194" s="22" t="s">
        <v>591</v>
      </c>
      <c r="C194" s="22" t="s">
        <v>592</v>
      </c>
      <c r="D194" s="22" t="s">
        <v>442</v>
      </c>
      <c r="E194" s="22" t="s">
        <v>169</v>
      </c>
      <c r="F194" s="31">
        <f>F195</f>
        <v>3374</v>
      </c>
      <c r="G194" s="31">
        <f>G195</f>
        <v>3374</v>
      </c>
      <c r="H194" s="31">
        <f t="shared" si="10"/>
        <v>100</v>
      </c>
    </row>
    <row r="195" spans="1:8" s="24" customFormat="1" x14ac:dyDescent="0.2">
      <c r="A195" s="68" t="s">
        <v>594</v>
      </c>
      <c r="B195" s="22" t="s">
        <v>591</v>
      </c>
      <c r="C195" s="22" t="s">
        <v>592</v>
      </c>
      <c r="D195" s="22" t="s">
        <v>442</v>
      </c>
      <c r="E195" s="22" t="s">
        <v>595</v>
      </c>
      <c r="F195" s="31">
        <f>2550+54+770</f>
        <v>3374</v>
      </c>
      <c r="G195" s="31">
        <v>3374</v>
      </c>
      <c r="H195" s="31">
        <f t="shared" si="10"/>
        <v>100</v>
      </c>
    </row>
    <row r="196" spans="1:8" s="24" customFormat="1" x14ac:dyDescent="0.2">
      <c r="A196" s="68" t="s">
        <v>378</v>
      </c>
      <c r="B196" s="22" t="s">
        <v>591</v>
      </c>
      <c r="C196" s="22" t="s">
        <v>592</v>
      </c>
      <c r="D196" s="22" t="s">
        <v>442</v>
      </c>
      <c r="E196" s="22" t="s">
        <v>175</v>
      </c>
      <c r="F196" s="31">
        <f>F197</f>
        <v>271</v>
      </c>
      <c r="G196" s="31">
        <f>G197</f>
        <v>259.14</v>
      </c>
      <c r="H196" s="31">
        <f t="shared" si="10"/>
        <v>95.623616236162363</v>
      </c>
    </row>
    <row r="197" spans="1:8" s="24" customFormat="1" x14ac:dyDescent="0.2">
      <c r="A197" s="68" t="s">
        <v>176</v>
      </c>
      <c r="B197" s="22" t="s">
        <v>591</v>
      </c>
      <c r="C197" s="22" t="s">
        <v>592</v>
      </c>
      <c r="D197" s="22" t="s">
        <v>442</v>
      </c>
      <c r="E197" s="22" t="s">
        <v>177</v>
      </c>
      <c r="F197" s="31">
        <f>171+100</f>
        <v>271</v>
      </c>
      <c r="G197" s="31">
        <v>259.14</v>
      </c>
      <c r="H197" s="31">
        <f t="shared" ref="H197:H257" si="14">G197/F197*100</f>
        <v>95.623616236162363</v>
      </c>
    </row>
    <row r="198" spans="1:8" s="24" customFormat="1" x14ac:dyDescent="0.2">
      <c r="A198" s="68" t="s">
        <v>178</v>
      </c>
      <c r="B198" s="22" t="s">
        <v>591</v>
      </c>
      <c r="C198" s="22" t="s">
        <v>592</v>
      </c>
      <c r="D198" s="22" t="s">
        <v>442</v>
      </c>
      <c r="E198" s="22" t="s">
        <v>179</v>
      </c>
      <c r="F198" s="31">
        <f>F199</f>
        <v>10.6</v>
      </c>
      <c r="G198" s="31">
        <f>G199</f>
        <v>5.548</v>
      </c>
      <c r="H198" s="31">
        <f t="shared" si="14"/>
        <v>52.339622641509429</v>
      </c>
    </row>
    <row r="199" spans="1:8" s="24" customFormat="1" x14ac:dyDescent="0.2">
      <c r="A199" s="68" t="s">
        <v>233</v>
      </c>
      <c r="B199" s="22" t="s">
        <v>591</v>
      </c>
      <c r="C199" s="22" t="s">
        <v>592</v>
      </c>
      <c r="D199" s="22" t="s">
        <v>442</v>
      </c>
      <c r="E199" s="22" t="s">
        <v>180</v>
      </c>
      <c r="F199" s="31">
        <f>3+7.6</f>
        <v>10.6</v>
      </c>
      <c r="G199" s="31">
        <v>5.548</v>
      </c>
      <c r="H199" s="31">
        <f t="shared" si="14"/>
        <v>52.339622641509429</v>
      </c>
    </row>
    <row r="200" spans="1:8" s="38" customFormat="1" x14ac:dyDescent="0.2">
      <c r="A200" s="64" t="s">
        <v>475</v>
      </c>
      <c r="B200" s="16" t="s">
        <v>167</v>
      </c>
      <c r="C200" s="16" t="s">
        <v>166</v>
      </c>
      <c r="D200" s="16"/>
      <c r="E200" s="16"/>
      <c r="F200" s="32">
        <f>F205+F214+F234+F281+F201</f>
        <v>1001910.8395600002</v>
      </c>
      <c r="G200" s="32">
        <f>G205+G214+G234+G281+G201</f>
        <v>916959.67042999994</v>
      </c>
      <c r="H200" s="32">
        <f t="shared" si="14"/>
        <v>91.521084933335246</v>
      </c>
    </row>
    <row r="201" spans="1:8" s="38" customFormat="1" x14ac:dyDescent="0.2">
      <c r="A201" s="64" t="s">
        <v>467</v>
      </c>
      <c r="B201" s="16" t="s">
        <v>167</v>
      </c>
      <c r="C201" s="16" t="s">
        <v>165</v>
      </c>
      <c r="D201" s="16"/>
      <c r="E201" s="16"/>
      <c r="F201" s="32">
        <f t="shared" ref="F201:G203" si="15">F202</f>
        <v>850.15499999999997</v>
      </c>
      <c r="G201" s="32">
        <f t="shared" si="15"/>
        <v>850.154</v>
      </c>
      <c r="H201" s="32">
        <f t="shared" si="14"/>
        <v>99.999882374390552</v>
      </c>
    </row>
    <row r="202" spans="1:8" s="38" customFormat="1" ht="24" x14ac:dyDescent="0.2">
      <c r="A202" s="64" t="s">
        <v>468</v>
      </c>
      <c r="B202" s="16" t="s">
        <v>167</v>
      </c>
      <c r="C202" s="16" t="s">
        <v>165</v>
      </c>
      <c r="D202" s="16" t="s">
        <v>469</v>
      </c>
      <c r="E202" s="16"/>
      <c r="F202" s="32">
        <f t="shared" si="15"/>
        <v>850.15499999999997</v>
      </c>
      <c r="G202" s="32">
        <f t="shared" si="15"/>
        <v>850.154</v>
      </c>
      <c r="H202" s="32">
        <f t="shared" si="14"/>
        <v>99.999882374390552</v>
      </c>
    </row>
    <row r="203" spans="1:8" s="38" customFormat="1" ht="24" x14ac:dyDescent="0.2">
      <c r="A203" s="68" t="s">
        <v>168</v>
      </c>
      <c r="B203" s="22" t="s">
        <v>167</v>
      </c>
      <c r="C203" s="22" t="s">
        <v>165</v>
      </c>
      <c r="D203" s="22" t="s">
        <v>469</v>
      </c>
      <c r="E203" s="22" t="s">
        <v>169</v>
      </c>
      <c r="F203" s="31">
        <f t="shared" si="15"/>
        <v>850.15499999999997</v>
      </c>
      <c r="G203" s="31">
        <f t="shared" si="15"/>
        <v>850.154</v>
      </c>
      <c r="H203" s="31">
        <f t="shared" si="14"/>
        <v>99.999882374390552</v>
      </c>
    </row>
    <row r="204" spans="1:8" s="38" customFormat="1" x14ac:dyDescent="0.2">
      <c r="A204" s="68" t="s">
        <v>170</v>
      </c>
      <c r="B204" s="22" t="s">
        <v>167</v>
      </c>
      <c r="C204" s="22" t="s">
        <v>165</v>
      </c>
      <c r="D204" s="22" t="s">
        <v>469</v>
      </c>
      <c r="E204" s="22" t="s">
        <v>173</v>
      </c>
      <c r="F204" s="31">
        <f>276.675+573.48</f>
        <v>850.15499999999997</v>
      </c>
      <c r="G204" s="31">
        <v>850.154</v>
      </c>
      <c r="H204" s="31">
        <f t="shared" si="14"/>
        <v>99.999882374390552</v>
      </c>
    </row>
    <row r="205" spans="1:8" s="38" customFormat="1" x14ac:dyDescent="0.2">
      <c r="A205" s="64" t="s">
        <v>485</v>
      </c>
      <c r="B205" s="16" t="s">
        <v>167</v>
      </c>
      <c r="C205" s="16" t="s">
        <v>598</v>
      </c>
      <c r="D205" s="16"/>
      <c r="E205" s="16"/>
      <c r="F205" s="32">
        <f>F206</f>
        <v>6000</v>
      </c>
      <c r="G205" s="32">
        <f>G206</f>
        <v>5997.5709999999999</v>
      </c>
      <c r="H205" s="32">
        <f t="shared" si="14"/>
        <v>99.959516666666673</v>
      </c>
    </row>
    <row r="206" spans="1:8" s="38" customFormat="1" ht="13.5" x14ac:dyDescent="0.2">
      <c r="A206" s="70" t="s">
        <v>348</v>
      </c>
      <c r="B206" s="43" t="s">
        <v>167</v>
      </c>
      <c r="C206" s="43" t="s">
        <v>598</v>
      </c>
      <c r="D206" s="77" t="s">
        <v>335</v>
      </c>
      <c r="E206" s="43"/>
      <c r="F206" s="47">
        <f>F207</f>
        <v>6000</v>
      </c>
      <c r="G206" s="47">
        <f>G207</f>
        <v>5997.5709999999999</v>
      </c>
      <c r="H206" s="35">
        <f t="shared" si="14"/>
        <v>99.959516666666673</v>
      </c>
    </row>
    <row r="207" spans="1:8" s="38" customFormat="1" x14ac:dyDescent="0.2">
      <c r="A207" s="64" t="s">
        <v>339</v>
      </c>
      <c r="B207" s="16" t="s">
        <v>167</v>
      </c>
      <c r="C207" s="16" t="s">
        <v>598</v>
      </c>
      <c r="D207" s="16" t="s">
        <v>47</v>
      </c>
      <c r="E207" s="16"/>
      <c r="F207" s="32">
        <f>F208+F210+F212</f>
        <v>6000</v>
      </c>
      <c r="G207" s="32">
        <f>G208+G210+G212</f>
        <v>5997.5709999999999</v>
      </c>
      <c r="H207" s="32">
        <f t="shared" si="14"/>
        <v>99.959516666666673</v>
      </c>
    </row>
    <row r="208" spans="1:8" s="38" customFormat="1" ht="24" x14ac:dyDescent="0.2">
      <c r="A208" s="68" t="s">
        <v>168</v>
      </c>
      <c r="B208" s="22" t="s">
        <v>167</v>
      </c>
      <c r="C208" s="22" t="s">
        <v>598</v>
      </c>
      <c r="D208" s="22" t="s">
        <v>47</v>
      </c>
      <c r="E208" s="22" t="s">
        <v>169</v>
      </c>
      <c r="F208" s="31">
        <f>F209</f>
        <v>5273.64</v>
      </c>
      <c r="G208" s="31">
        <f>G209</f>
        <v>5273.6270000000004</v>
      </c>
      <c r="H208" s="31">
        <f t="shared" si="14"/>
        <v>99.999753490947427</v>
      </c>
    </row>
    <row r="209" spans="1:8" s="38" customFormat="1" x14ac:dyDescent="0.2">
      <c r="A209" s="68" t="s">
        <v>594</v>
      </c>
      <c r="B209" s="22" t="s">
        <v>167</v>
      </c>
      <c r="C209" s="22" t="s">
        <v>598</v>
      </c>
      <c r="D209" s="22" t="s">
        <v>47</v>
      </c>
      <c r="E209" s="22" t="s">
        <v>595</v>
      </c>
      <c r="F209" s="31">
        <f>3872+1169+20+212.64</f>
        <v>5273.64</v>
      </c>
      <c r="G209" s="31">
        <v>5273.6270000000004</v>
      </c>
      <c r="H209" s="31">
        <f t="shared" si="14"/>
        <v>99.999753490947427</v>
      </c>
    </row>
    <row r="210" spans="1:8" s="38" customFormat="1" x14ac:dyDescent="0.2">
      <c r="A210" s="68" t="s">
        <v>378</v>
      </c>
      <c r="B210" s="22" t="s">
        <v>167</v>
      </c>
      <c r="C210" s="22" t="s">
        <v>598</v>
      </c>
      <c r="D210" s="22" t="s">
        <v>47</v>
      </c>
      <c r="E210" s="22" t="s">
        <v>175</v>
      </c>
      <c r="F210" s="31">
        <f>F211</f>
        <v>685.00887</v>
      </c>
      <c r="G210" s="31">
        <f>G211</f>
        <v>684.15599999999995</v>
      </c>
      <c r="H210" s="31">
        <f t="shared" si="14"/>
        <v>99.875495042859811</v>
      </c>
    </row>
    <row r="211" spans="1:8" s="38" customFormat="1" x14ac:dyDescent="0.2">
      <c r="A211" s="68" t="s">
        <v>176</v>
      </c>
      <c r="B211" s="22" t="s">
        <v>167</v>
      </c>
      <c r="C211" s="22" t="s">
        <v>598</v>
      </c>
      <c r="D211" s="22" t="s">
        <v>47</v>
      </c>
      <c r="E211" s="22" t="s">
        <v>177</v>
      </c>
      <c r="F211" s="31">
        <f>934-0.25113-20-16.1-212.64</f>
        <v>685.00887</v>
      </c>
      <c r="G211" s="31">
        <v>684.15599999999995</v>
      </c>
      <c r="H211" s="31">
        <f t="shared" si="14"/>
        <v>99.875495042859811</v>
      </c>
    </row>
    <row r="212" spans="1:8" s="38" customFormat="1" x14ac:dyDescent="0.2">
      <c r="A212" s="68" t="s">
        <v>178</v>
      </c>
      <c r="B212" s="22" t="s">
        <v>167</v>
      </c>
      <c r="C212" s="22" t="s">
        <v>598</v>
      </c>
      <c r="D212" s="22" t="s">
        <v>47</v>
      </c>
      <c r="E212" s="22" t="s">
        <v>179</v>
      </c>
      <c r="F212" s="31">
        <f>F213</f>
        <v>41.351129999999998</v>
      </c>
      <c r="G212" s="31">
        <f>G213</f>
        <v>39.787999999999997</v>
      </c>
      <c r="H212" s="31">
        <f t="shared" si="14"/>
        <v>96.219861464487195</v>
      </c>
    </row>
    <row r="213" spans="1:8" s="38" customFormat="1" x14ac:dyDescent="0.2">
      <c r="A213" s="68" t="s">
        <v>233</v>
      </c>
      <c r="B213" s="22" t="s">
        <v>167</v>
      </c>
      <c r="C213" s="22" t="s">
        <v>598</v>
      </c>
      <c r="D213" s="22" t="s">
        <v>47</v>
      </c>
      <c r="E213" s="22" t="s">
        <v>180</v>
      </c>
      <c r="F213" s="31">
        <f>25+0.25113+16.1</f>
        <v>41.351129999999998</v>
      </c>
      <c r="G213" s="31">
        <v>39.787999999999997</v>
      </c>
      <c r="H213" s="31">
        <f t="shared" si="14"/>
        <v>96.219861464487195</v>
      </c>
    </row>
    <row r="214" spans="1:8" s="24" customFormat="1" x14ac:dyDescent="0.2">
      <c r="A214" s="64" t="s">
        <v>486</v>
      </c>
      <c r="B214" s="16" t="s">
        <v>167</v>
      </c>
      <c r="C214" s="16" t="s">
        <v>596</v>
      </c>
      <c r="D214" s="16"/>
      <c r="E214" s="16"/>
      <c r="F214" s="32">
        <f>F215+F229</f>
        <v>75051.490999999995</v>
      </c>
      <c r="G214" s="32">
        <f>G215+G229</f>
        <v>74851.070430000007</v>
      </c>
      <c r="H214" s="32">
        <f t="shared" si="14"/>
        <v>99.732955911562115</v>
      </c>
    </row>
    <row r="215" spans="1:8" s="24" customFormat="1" ht="27" x14ac:dyDescent="0.2">
      <c r="A215" s="70" t="s">
        <v>629</v>
      </c>
      <c r="B215" s="43" t="s">
        <v>167</v>
      </c>
      <c r="C215" s="43" t="s">
        <v>596</v>
      </c>
      <c r="D215" s="43" t="s">
        <v>315</v>
      </c>
      <c r="E215" s="43"/>
      <c r="F215" s="47">
        <f>F216+F225</f>
        <v>74947.899999999994</v>
      </c>
      <c r="G215" s="47">
        <f>G216+G225</f>
        <v>74747.479430000007</v>
      </c>
      <c r="H215" s="47">
        <f t="shared" si="14"/>
        <v>99.732586810304241</v>
      </c>
    </row>
    <row r="216" spans="1:8" s="24" customFormat="1" x14ac:dyDescent="0.2">
      <c r="A216" s="64" t="s">
        <v>189</v>
      </c>
      <c r="B216" s="16" t="s">
        <v>167</v>
      </c>
      <c r="C216" s="16" t="s">
        <v>596</v>
      </c>
      <c r="D216" s="16" t="s">
        <v>316</v>
      </c>
      <c r="E216" s="16"/>
      <c r="F216" s="32">
        <f>F217+F220</f>
        <v>4947.9000000000005</v>
      </c>
      <c r="G216" s="32">
        <f>G217+G220</f>
        <v>4747.4794300000003</v>
      </c>
      <c r="H216" s="32">
        <f t="shared" si="14"/>
        <v>95.949381151599667</v>
      </c>
    </row>
    <row r="217" spans="1:8" s="24" customFormat="1" x14ac:dyDescent="0.2">
      <c r="A217" s="66" t="s">
        <v>380</v>
      </c>
      <c r="B217" s="16" t="s">
        <v>167</v>
      </c>
      <c r="C217" s="16" t="s">
        <v>596</v>
      </c>
      <c r="D217" s="16" t="s">
        <v>418</v>
      </c>
      <c r="E217" s="16"/>
      <c r="F217" s="32">
        <f>F218</f>
        <v>4821.63</v>
      </c>
      <c r="G217" s="32">
        <f>G218</f>
        <v>4621.3</v>
      </c>
      <c r="H217" s="32">
        <f t="shared" si="14"/>
        <v>95.845180986512858</v>
      </c>
    </row>
    <row r="218" spans="1:8" s="24" customFormat="1" ht="24" x14ac:dyDescent="0.2">
      <c r="A218" s="68" t="s">
        <v>168</v>
      </c>
      <c r="B218" s="22" t="s">
        <v>167</v>
      </c>
      <c r="C218" s="22" t="s">
        <v>596</v>
      </c>
      <c r="D218" s="22" t="s">
        <v>418</v>
      </c>
      <c r="E218" s="22" t="s">
        <v>169</v>
      </c>
      <c r="F218" s="31">
        <f>F219</f>
        <v>4821.63</v>
      </c>
      <c r="G218" s="31">
        <f>G219</f>
        <v>4621.3</v>
      </c>
      <c r="H218" s="31">
        <f t="shared" si="14"/>
        <v>95.845180986512858</v>
      </c>
    </row>
    <row r="219" spans="1:8" s="24" customFormat="1" x14ac:dyDescent="0.2">
      <c r="A219" s="68" t="s">
        <v>170</v>
      </c>
      <c r="B219" s="22" t="s">
        <v>167</v>
      </c>
      <c r="C219" s="22" t="s">
        <v>596</v>
      </c>
      <c r="D219" s="22" t="s">
        <v>418</v>
      </c>
      <c r="E219" s="22" t="s">
        <v>173</v>
      </c>
      <c r="F219" s="31">
        <f>3705.5+1119-2.87</f>
        <v>4821.63</v>
      </c>
      <c r="G219" s="31">
        <v>4621.3</v>
      </c>
      <c r="H219" s="31">
        <f t="shared" si="14"/>
        <v>95.845180986512858</v>
      </c>
    </row>
    <row r="220" spans="1:8" s="24" customFormat="1" x14ac:dyDescent="0.2">
      <c r="A220" s="64" t="s">
        <v>174</v>
      </c>
      <c r="B220" s="16" t="s">
        <v>167</v>
      </c>
      <c r="C220" s="16" t="s">
        <v>596</v>
      </c>
      <c r="D220" s="16" t="s">
        <v>419</v>
      </c>
      <c r="E220" s="16"/>
      <c r="F220" s="32">
        <f>F221+F223</f>
        <v>126.27</v>
      </c>
      <c r="G220" s="32">
        <f>G221+G223</f>
        <v>126.17943000000001</v>
      </c>
      <c r="H220" s="32">
        <f t="shared" si="14"/>
        <v>99.928272748871478</v>
      </c>
    </row>
    <row r="221" spans="1:8" s="24" customFormat="1" x14ac:dyDescent="0.2">
      <c r="A221" s="68" t="s">
        <v>378</v>
      </c>
      <c r="B221" s="22" t="s">
        <v>167</v>
      </c>
      <c r="C221" s="22" t="s">
        <v>596</v>
      </c>
      <c r="D221" s="22" t="s">
        <v>419</v>
      </c>
      <c r="E221" s="22" t="s">
        <v>175</v>
      </c>
      <c r="F221" s="31">
        <f>F222</f>
        <v>126.2</v>
      </c>
      <c r="G221" s="31">
        <f>G222</f>
        <v>126.16500000000001</v>
      </c>
      <c r="H221" s="31">
        <f t="shared" si="14"/>
        <v>99.972266244057053</v>
      </c>
    </row>
    <row r="222" spans="1:8" s="24" customFormat="1" x14ac:dyDescent="0.2">
      <c r="A222" s="68" t="s">
        <v>176</v>
      </c>
      <c r="B222" s="22" t="s">
        <v>167</v>
      </c>
      <c r="C222" s="22" t="s">
        <v>596</v>
      </c>
      <c r="D222" s="22" t="s">
        <v>419</v>
      </c>
      <c r="E222" s="22" t="s">
        <v>177</v>
      </c>
      <c r="F222" s="31">
        <f>187-60.8</f>
        <v>126.2</v>
      </c>
      <c r="G222" s="31">
        <v>126.16500000000001</v>
      </c>
      <c r="H222" s="31">
        <f t="shared" si="14"/>
        <v>99.972266244057053</v>
      </c>
    </row>
    <row r="223" spans="1:8" s="24" customFormat="1" x14ac:dyDescent="0.2">
      <c r="A223" s="68" t="s">
        <v>178</v>
      </c>
      <c r="B223" s="22" t="s">
        <v>167</v>
      </c>
      <c r="C223" s="22" t="s">
        <v>596</v>
      </c>
      <c r="D223" s="22" t="s">
        <v>419</v>
      </c>
      <c r="E223" s="22" t="s">
        <v>179</v>
      </c>
      <c r="F223" s="31">
        <f>F224</f>
        <v>6.999999999999984E-2</v>
      </c>
      <c r="G223" s="31">
        <f>G224</f>
        <v>1.443E-2</v>
      </c>
      <c r="H223" s="31">
        <f t="shared" si="14"/>
        <v>20.614285714285764</v>
      </c>
    </row>
    <row r="224" spans="1:8" s="24" customFormat="1" x14ac:dyDescent="0.2">
      <c r="A224" s="68" t="s">
        <v>233</v>
      </c>
      <c r="B224" s="22" t="s">
        <v>167</v>
      </c>
      <c r="C224" s="22" t="s">
        <v>596</v>
      </c>
      <c r="D224" s="22" t="s">
        <v>419</v>
      </c>
      <c r="E224" s="22" t="s">
        <v>180</v>
      </c>
      <c r="F224" s="31">
        <f>3-2.93</f>
        <v>6.999999999999984E-2</v>
      </c>
      <c r="G224" s="31">
        <v>1.443E-2</v>
      </c>
      <c r="H224" s="31">
        <f t="shared" si="14"/>
        <v>20.614285714285764</v>
      </c>
    </row>
    <row r="225" spans="1:8" s="24" customFormat="1" x14ac:dyDescent="0.2">
      <c r="A225" s="61" t="s">
        <v>420</v>
      </c>
      <c r="B225" s="16" t="s">
        <v>167</v>
      </c>
      <c r="C225" s="16" t="s">
        <v>596</v>
      </c>
      <c r="D225" s="33" t="s">
        <v>421</v>
      </c>
      <c r="E225" s="17"/>
      <c r="F225" s="32">
        <f t="shared" ref="F225:G227" si="16">F226</f>
        <v>70000</v>
      </c>
      <c r="G225" s="32">
        <f t="shared" si="16"/>
        <v>70000</v>
      </c>
      <c r="H225" s="32">
        <f t="shared" si="14"/>
        <v>100</v>
      </c>
    </row>
    <row r="226" spans="1:8" s="24" customFormat="1" ht="24" x14ac:dyDescent="0.2">
      <c r="A226" s="101" t="s">
        <v>422</v>
      </c>
      <c r="B226" s="17" t="s">
        <v>167</v>
      </c>
      <c r="C226" s="17" t="s">
        <v>596</v>
      </c>
      <c r="D226" s="44" t="s">
        <v>34</v>
      </c>
      <c r="E226" s="17"/>
      <c r="F226" s="35">
        <f t="shared" si="16"/>
        <v>70000</v>
      </c>
      <c r="G226" s="35">
        <f t="shared" si="16"/>
        <v>70000</v>
      </c>
      <c r="H226" s="35">
        <f t="shared" si="14"/>
        <v>100</v>
      </c>
    </row>
    <row r="227" spans="1:8" s="24" customFormat="1" x14ac:dyDescent="0.2">
      <c r="A227" s="68" t="s">
        <v>178</v>
      </c>
      <c r="B227" s="22" t="s">
        <v>167</v>
      </c>
      <c r="C227" s="22" t="s">
        <v>596</v>
      </c>
      <c r="D227" s="30" t="s">
        <v>34</v>
      </c>
      <c r="E227" s="22" t="s">
        <v>179</v>
      </c>
      <c r="F227" s="31">
        <f t="shared" si="16"/>
        <v>70000</v>
      </c>
      <c r="G227" s="31">
        <f t="shared" si="16"/>
        <v>70000</v>
      </c>
      <c r="H227" s="31">
        <f t="shared" si="14"/>
        <v>100</v>
      </c>
    </row>
    <row r="228" spans="1:8" s="24" customFormat="1" ht="24" x14ac:dyDescent="0.2">
      <c r="A228" s="68" t="s">
        <v>86</v>
      </c>
      <c r="B228" s="22" t="s">
        <v>167</v>
      </c>
      <c r="C228" s="22" t="s">
        <v>596</v>
      </c>
      <c r="D228" s="30" t="s">
        <v>34</v>
      </c>
      <c r="E228" s="22" t="s">
        <v>540</v>
      </c>
      <c r="F228" s="31">
        <f>60000+10000</f>
        <v>70000</v>
      </c>
      <c r="G228" s="31">
        <v>70000</v>
      </c>
      <c r="H228" s="31">
        <f t="shared" si="14"/>
        <v>100</v>
      </c>
    </row>
    <row r="229" spans="1:8" s="24" customFormat="1" x14ac:dyDescent="0.2">
      <c r="A229" s="65" t="s">
        <v>163</v>
      </c>
      <c r="B229" s="16" t="s">
        <v>167</v>
      </c>
      <c r="C229" s="16" t="s">
        <v>596</v>
      </c>
      <c r="D229" s="33" t="s">
        <v>293</v>
      </c>
      <c r="E229" s="16"/>
      <c r="F229" s="95">
        <f t="shared" ref="F229:G232" si="17">F230</f>
        <v>103.59099999999999</v>
      </c>
      <c r="G229" s="95">
        <f t="shared" si="17"/>
        <v>103.59099999999999</v>
      </c>
      <c r="H229" s="32">
        <f t="shared" si="14"/>
        <v>100</v>
      </c>
    </row>
    <row r="230" spans="1:8" s="24" customFormat="1" x14ac:dyDescent="0.2">
      <c r="A230" s="66" t="s">
        <v>381</v>
      </c>
      <c r="B230" s="16" t="s">
        <v>167</v>
      </c>
      <c r="C230" s="16" t="s">
        <v>596</v>
      </c>
      <c r="D230" s="33" t="s">
        <v>294</v>
      </c>
      <c r="E230" s="16"/>
      <c r="F230" s="95">
        <f t="shared" si="17"/>
        <v>103.59099999999999</v>
      </c>
      <c r="G230" s="95">
        <f t="shared" si="17"/>
        <v>103.59099999999999</v>
      </c>
      <c r="H230" s="32">
        <f t="shared" si="14"/>
        <v>100</v>
      </c>
    </row>
    <row r="231" spans="1:8" s="24" customFormat="1" ht="24" x14ac:dyDescent="0.2">
      <c r="A231" s="64" t="s">
        <v>632</v>
      </c>
      <c r="B231" s="16" t="s">
        <v>167</v>
      </c>
      <c r="C231" s="16" t="s">
        <v>596</v>
      </c>
      <c r="D231" s="16" t="s">
        <v>633</v>
      </c>
      <c r="E231" s="16"/>
      <c r="F231" s="32">
        <f t="shared" si="17"/>
        <v>103.59099999999999</v>
      </c>
      <c r="G231" s="32">
        <f t="shared" si="17"/>
        <v>103.59099999999999</v>
      </c>
      <c r="H231" s="32">
        <f t="shared" si="14"/>
        <v>100</v>
      </c>
    </row>
    <row r="232" spans="1:8" s="24" customFormat="1" ht="24" x14ac:dyDescent="0.2">
      <c r="A232" s="68" t="s">
        <v>168</v>
      </c>
      <c r="B232" s="22" t="s">
        <v>167</v>
      </c>
      <c r="C232" s="22" t="s">
        <v>596</v>
      </c>
      <c r="D232" s="22" t="s">
        <v>633</v>
      </c>
      <c r="E232" s="22" t="s">
        <v>169</v>
      </c>
      <c r="F232" s="31">
        <f t="shared" si="17"/>
        <v>103.59099999999999</v>
      </c>
      <c r="G232" s="31">
        <f t="shared" si="17"/>
        <v>103.59099999999999</v>
      </c>
      <c r="H232" s="31">
        <f t="shared" si="14"/>
        <v>100</v>
      </c>
    </row>
    <row r="233" spans="1:8" s="24" customFormat="1" x14ac:dyDescent="0.2">
      <c r="A233" s="68" t="s">
        <v>170</v>
      </c>
      <c r="B233" s="22" t="s">
        <v>167</v>
      </c>
      <c r="C233" s="22" t="s">
        <v>596</v>
      </c>
      <c r="D233" s="22" t="s">
        <v>633</v>
      </c>
      <c r="E233" s="22" t="s">
        <v>173</v>
      </c>
      <c r="F233" s="31">
        <v>103.59099999999999</v>
      </c>
      <c r="G233" s="31">
        <v>103.59099999999999</v>
      </c>
      <c r="H233" s="31">
        <f t="shared" si="14"/>
        <v>100</v>
      </c>
    </row>
    <row r="234" spans="1:8" s="24" customFormat="1" x14ac:dyDescent="0.2">
      <c r="A234" s="64" t="s">
        <v>510</v>
      </c>
      <c r="B234" s="16" t="s">
        <v>167</v>
      </c>
      <c r="C234" s="16" t="s">
        <v>592</v>
      </c>
      <c r="D234" s="30"/>
      <c r="E234" s="22"/>
      <c r="F234" s="32">
        <f>F235</f>
        <v>893548.35256000014</v>
      </c>
      <c r="G234" s="32">
        <f>G235</f>
        <v>809167.86</v>
      </c>
      <c r="H234" s="32">
        <f t="shared" si="14"/>
        <v>90.556695413488086</v>
      </c>
    </row>
    <row r="235" spans="1:8" s="24" customFormat="1" ht="27" x14ac:dyDescent="0.2">
      <c r="A235" s="70" t="s">
        <v>629</v>
      </c>
      <c r="B235" s="43" t="s">
        <v>167</v>
      </c>
      <c r="C235" s="43" t="s">
        <v>592</v>
      </c>
      <c r="D235" s="43" t="s">
        <v>315</v>
      </c>
      <c r="E235" s="43"/>
      <c r="F235" s="47">
        <f>F236+F240+F269</f>
        <v>893548.35256000014</v>
      </c>
      <c r="G235" s="47">
        <f>G236+G240+G269</f>
        <v>809167.86</v>
      </c>
      <c r="H235" s="47">
        <f t="shared" si="14"/>
        <v>90.556695413488086</v>
      </c>
    </row>
    <row r="236" spans="1:8" s="24" customFormat="1" ht="13.5" x14ac:dyDescent="0.2">
      <c r="A236" s="64" t="s">
        <v>189</v>
      </c>
      <c r="B236" s="16" t="s">
        <v>167</v>
      </c>
      <c r="C236" s="16" t="s">
        <v>592</v>
      </c>
      <c r="D236" s="16" t="s">
        <v>316</v>
      </c>
      <c r="E236" s="43"/>
      <c r="F236" s="32">
        <f t="shared" ref="F236:G238" si="18">F237</f>
        <v>594</v>
      </c>
      <c r="G236" s="32">
        <f t="shared" si="18"/>
        <v>594</v>
      </c>
      <c r="H236" s="32">
        <f t="shared" si="14"/>
        <v>100</v>
      </c>
    </row>
    <row r="237" spans="1:8" s="24" customFormat="1" x14ac:dyDescent="0.2">
      <c r="A237" s="67" t="s">
        <v>307</v>
      </c>
      <c r="B237" s="17" t="s">
        <v>167</v>
      </c>
      <c r="C237" s="17" t="s">
        <v>592</v>
      </c>
      <c r="D237" s="17" t="s">
        <v>36</v>
      </c>
      <c r="E237" s="17"/>
      <c r="F237" s="35">
        <f t="shared" si="18"/>
        <v>594</v>
      </c>
      <c r="G237" s="35">
        <f t="shared" si="18"/>
        <v>594</v>
      </c>
      <c r="H237" s="35">
        <f t="shared" si="14"/>
        <v>100</v>
      </c>
    </row>
    <row r="238" spans="1:8" s="24" customFormat="1" x14ac:dyDescent="0.2">
      <c r="A238" s="68" t="s">
        <v>378</v>
      </c>
      <c r="B238" s="22" t="s">
        <v>167</v>
      </c>
      <c r="C238" s="22" t="s">
        <v>592</v>
      </c>
      <c r="D238" s="22" t="s">
        <v>36</v>
      </c>
      <c r="E238" s="22" t="s">
        <v>175</v>
      </c>
      <c r="F238" s="31">
        <f t="shared" si="18"/>
        <v>594</v>
      </c>
      <c r="G238" s="31">
        <f t="shared" si="18"/>
        <v>594</v>
      </c>
      <c r="H238" s="31">
        <f t="shared" si="14"/>
        <v>100</v>
      </c>
    </row>
    <row r="239" spans="1:8" s="24" customFormat="1" x14ac:dyDescent="0.2">
      <c r="A239" s="68" t="s">
        <v>176</v>
      </c>
      <c r="B239" s="22" t="s">
        <v>167</v>
      </c>
      <c r="C239" s="22" t="s">
        <v>592</v>
      </c>
      <c r="D239" s="22" t="s">
        <v>36</v>
      </c>
      <c r="E239" s="22" t="s">
        <v>177</v>
      </c>
      <c r="F239" s="31">
        <v>594</v>
      </c>
      <c r="G239" s="31">
        <v>594</v>
      </c>
      <c r="H239" s="31">
        <f t="shared" si="14"/>
        <v>100</v>
      </c>
    </row>
    <row r="240" spans="1:8" s="24" customFormat="1" ht="24" x14ac:dyDescent="0.2">
      <c r="A240" s="61" t="s">
        <v>423</v>
      </c>
      <c r="B240" s="16" t="s">
        <v>167</v>
      </c>
      <c r="C240" s="16" t="s">
        <v>592</v>
      </c>
      <c r="D240" s="33" t="s">
        <v>424</v>
      </c>
      <c r="E240" s="16"/>
      <c r="F240" s="32">
        <f>F241+F244+F249+F254+F257+F260+F263+F266</f>
        <v>874296.0525600001</v>
      </c>
      <c r="G240" s="32">
        <f>G241+G244+G249+G254+G257+G260+G263+G266</f>
        <v>790708.13199999998</v>
      </c>
      <c r="H240" s="32">
        <f t="shared" si="14"/>
        <v>90.439403184396312</v>
      </c>
    </row>
    <row r="241" spans="1:8" s="24" customFormat="1" ht="24" x14ac:dyDescent="0.2">
      <c r="A241" s="67" t="s">
        <v>631</v>
      </c>
      <c r="B241" s="22" t="s">
        <v>167</v>
      </c>
      <c r="C241" s="22" t="s">
        <v>592</v>
      </c>
      <c r="D241" s="17" t="s">
        <v>35</v>
      </c>
      <c r="E241" s="17"/>
      <c r="F241" s="35">
        <f>F242</f>
        <v>21462.55256</v>
      </c>
      <c r="G241" s="35">
        <f>G242</f>
        <v>10878.296</v>
      </c>
      <c r="H241" s="35">
        <f t="shared" si="14"/>
        <v>50.68500575404066</v>
      </c>
    </row>
    <row r="242" spans="1:8" s="24" customFormat="1" x14ac:dyDescent="0.2">
      <c r="A242" s="68" t="s">
        <v>378</v>
      </c>
      <c r="B242" s="22" t="s">
        <v>167</v>
      </c>
      <c r="C242" s="22" t="s">
        <v>592</v>
      </c>
      <c r="D242" s="22" t="s">
        <v>35</v>
      </c>
      <c r="E242" s="22" t="s">
        <v>175</v>
      </c>
      <c r="F242" s="31">
        <f>F243</f>
        <v>21462.55256</v>
      </c>
      <c r="G242" s="31">
        <f>G243</f>
        <v>10878.296</v>
      </c>
      <c r="H242" s="31">
        <f t="shared" si="14"/>
        <v>50.68500575404066</v>
      </c>
    </row>
    <row r="243" spans="1:8" s="24" customFormat="1" x14ac:dyDescent="0.2">
      <c r="A243" s="68" t="s">
        <v>176</v>
      </c>
      <c r="B243" s="22" t="s">
        <v>167</v>
      </c>
      <c r="C243" s="22" t="s">
        <v>592</v>
      </c>
      <c r="D243" s="22" t="s">
        <v>35</v>
      </c>
      <c r="E243" s="22" t="s">
        <v>177</v>
      </c>
      <c r="F243" s="31">
        <f>16929+2323.35933+2210.19323</f>
        <v>21462.55256</v>
      </c>
      <c r="G243" s="31">
        <v>10878.296</v>
      </c>
      <c r="H243" s="31">
        <f t="shared" si="14"/>
        <v>50.68500575404066</v>
      </c>
    </row>
    <row r="244" spans="1:8" s="24" customFormat="1" ht="24" x14ac:dyDescent="0.2">
      <c r="A244" s="67" t="s">
        <v>124</v>
      </c>
      <c r="B244" s="17" t="s">
        <v>167</v>
      </c>
      <c r="C244" s="17" t="s">
        <v>592</v>
      </c>
      <c r="D244" s="17" t="s">
        <v>120</v>
      </c>
      <c r="E244" s="17"/>
      <c r="F244" s="100">
        <f>F245+F247</f>
        <v>231292.7</v>
      </c>
      <c r="G244" s="100">
        <f>G245+G247</f>
        <v>209497.951</v>
      </c>
      <c r="H244" s="35">
        <f t="shared" si="14"/>
        <v>90.57698362291589</v>
      </c>
    </row>
    <row r="245" spans="1:8" s="24" customFormat="1" x14ac:dyDescent="0.2">
      <c r="A245" s="68" t="s">
        <v>239</v>
      </c>
      <c r="B245" s="22" t="s">
        <v>167</v>
      </c>
      <c r="C245" s="22" t="s">
        <v>592</v>
      </c>
      <c r="D245" s="22" t="s">
        <v>120</v>
      </c>
      <c r="E245" s="22" t="s">
        <v>175</v>
      </c>
      <c r="F245" s="96">
        <f>F246</f>
        <v>214506.40900000001</v>
      </c>
      <c r="G245" s="96">
        <f>G246</f>
        <v>192711.66</v>
      </c>
      <c r="H245" s="31">
        <f t="shared" si="14"/>
        <v>89.839581436468876</v>
      </c>
    </row>
    <row r="246" spans="1:8" s="24" customFormat="1" x14ac:dyDescent="0.2">
      <c r="A246" s="68" t="s">
        <v>176</v>
      </c>
      <c r="B246" s="22" t="s">
        <v>167</v>
      </c>
      <c r="C246" s="22" t="s">
        <v>592</v>
      </c>
      <c r="D246" s="22" t="s">
        <v>120</v>
      </c>
      <c r="E246" s="22" t="s">
        <v>177</v>
      </c>
      <c r="F246" s="96">
        <f>134196.9+97095.8-14392.386-2393.905</f>
        <v>214506.40900000001</v>
      </c>
      <c r="G246" s="96">
        <v>192711.66</v>
      </c>
      <c r="H246" s="31">
        <f t="shared" si="14"/>
        <v>89.839581436468876</v>
      </c>
    </row>
    <row r="247" spans="1:8" s="24" customFormat="1" x14ac:dyDescent="0.2">
      <c r="A247" s="68" t="s">
        <v>305</v>
      </c>
      <c r="B247" s="22" t="s">
        <v>167</v>
      </c>
      <c r="C247" s="22" t="s">
        <v>592</v>
      </c>
      <c r="D247" s="22" t="s">
        <v>120</v>
      </c>
      <c r="E247" s="22" t="s">
        <v>544</v>
      </c>
      <c r="F247" s="96">
        <f>F248</f>
        <v>16786.291000000001</v>
      </c>
      <c r="G247" s="96">
        <f>G248</f>
        <v>16786.291000000001</v>
      </c>
      <c r="H247" s="31">
        <f t="shared" si="14"/>
        <v>100</v>
      </c>
    </row>
    <row r="248" spans="1:8" s="24" customFormat="1" x14ac:dyDescent="0.2">
      <c r="A248" s="68" t="s">
        <v>545</v>
      </c>
      <c r="B248" s="22" t="s">
        <v>167</v>
      </c>
      <c r="C248" s="22" t="s">
        <v>592</v>
      </c>
      <c r="D248" s="22" t="s">
        <v>120</v>
      </c>
      <c r="E248" s="22" t="s">
        <v>546</v>
      </c>
      <c r="F248" s="96">
        <f>14392.386+2393.905</f>
        <v>16786.291000000001</v>
      </c>
      <c r="G248" s="96">
        <v>16786.291000000001</v>
      </c>
      <c r="H248" s="31">
        <f t="shared" si="14"/>
        <v>100</v>
      </c>
    </row>
    <row r="249" spans="1:8" s="24" customFormat="1" ht="24" x14ac:dyDescent="0.2">
      <c r="A249" s="67" t="s">
        <v>318</v>
      </c>
      <c r="B249" s="17" t="s">
        <v>167</v>
      </c>
      <c r="C249" s="17" t="s">
        <v>592</v>
      </c>
      <c r="D249" s="17" t="s">
        <v>121</v>
      </c>
      <c r="E249" s="17"/>
      <c r="F249" s="35">
        <f>F250+F252</f>
        <v>25000.000000000004</v>
      </c>
      <c r="G249" s="35">
        <f>G250+G252</f>
        <v>21168.496000000003</v>
      </c>
      <c r="H249" s="35">
        <f t="shared" si="14"/>
        <v>84.673984000000004</v>
      </c>
    </row>
    <row r="250" spans="1:8" s="24" customFormat="1" x14ac:dyDescent="0.2">
      <c r="A250" s="68" t="s">
        <v>378</v>
      </c>
      <c r="B250" s="22" t="s">
        <v>167</v>
      </c>
      <c r="C250" s="22" t="s">
        <v>592</v>
      </c>
      <c r="D250" s="22" t="s">
        <v>121</v>
      </c>
      <c r="E250" s="22" t="s">
        <v>175</v>
      </c>
      <c r="F250" s="31">
        <f>F251</f>
        <v>24116.511000000002</v>
      </c>
      <c r="G250" s="31">
        <f>G251</f>
        <v>20285.007000000001</v>
      </c>
      <c r="H250" s="31">
        <f t="shared" si="14"/>
        <v>84.112527720116731</v>
      </c>
    </row>
    <row r="251" spans="1:8" s="24" customFormat="1" x14ac:dyDescent="0.2">
      <c r="A251" s="68" t="s">
        <v>176</v>
      </c>
      <c r="B251" s="22" t="s">
        <v>167</v>
      </c>
      <c r="C251" s="22" t="s">
        <v>592</v>
      </c>
      <c r="D251" s="22" t="s">
        <v>121</v>
      </c>
      <c r="E251" s="22" t="s">
        <v>177</v>
      </c>
      <c r="F251" s="31">
        <f>25000-757.494-125.995</f>
        <v>24116.511000000002</v>
      </c>
      <c r="G251" s="31">
        <v>20285.007000000001</v>
      </c>
      <c r="H251" s="31">
        <f t="shared" si="14"/>
        <v>84.112527720116731</v>
      </c>
    </row>
    <row r="252" spans="1:8" s="24" customFormat="1" x14ac:dyDescent="0.2">
      <c r="A252" s="68" t="s">
        <v>305</v>
      </c>
      <c r="B252" s="22" t="s">
        <v>167</v>
      </c>
      <c r="C252" s="22" t="s">
        <v>592</v>
      </c>
      <c r="D252" s="22" t="s">
        <v>121</v>
      </c>
      <c r="E252" s="22" t="s">
        <v>544</v>
      </c>
      <c r="F252" s="31">
        <f>F253</f>
        <v>883.48900000000003</v>
      </c>
      <c r="G252" s="31">
        <f>G253</f>
        <v>883.48900000000003</v>
      </c>
      <c r="H252" s="31">
        <f t="shared" si="14"/>
        <v>100</v>
      </c>
    </row>
    <row r="253" spans="1:8" s="24" customFormat="1" x14ac:dyDescent="0.2">
      <c r="A253" s="68" t="s">
        <v>545</v>
      </c>
      <c r="B253" s="22" t="s">
        <v>167</v>
      </c>
      <c r="C253" s="22" t="s">
        <v>592</v>
      </c>
      <c r="D253" s="22" t="s">
        <v>121</v>
      </c>
      <c r="E253" s="22" t="s">
        <v>546</v>
      </c>
      <c r="F253" s="31">
        <f>757.494+125.995</f>
        <v>883.48900000000003</v>
      </c>
      <c r="G253" s="31">
        <v>883.48900000000003</v>
      </c>
      <c r="H253" s="31">
        <f t="shared" si="14"/>
        <v>100</v>
      </c>
    </row>
    <row r="254" spans="1:8" s="24" customFormat="1" x14ac:dyDescent="0.2">
      <c r="A254" s="67" t="s">
        <v>307</v>
      </c>
      <c r="B254" s="17" t="s">
        <v>167</v>
      </c>
      <c r="C254" s="17" t="s">
        <v>592</v>
      </c>
      <c r="D254" s="17" t="s">
        <v>37</v>
      </c>
      <c r="E254" s="17"/>
      <c r="F254" s="35">
        <f>F255</f>
        <v>67833.5</v>
      </c>
      <c r="G254" s="35">
        <f>G255</f>
        <v>67833.5</v>
      </c>
      <c r="H254" s="35">
        <f t="shared" si="14"/>
        <v>100</v>
      </c>
    </row>
    <row r="255" spans="1:8" s="24" customFormat="1" x14ac:dyDescent="0.2">
      <c r="A255" s="68" t="s">
        <v>378</v>
      </c>
      <c r="B255" s="22" t="s">
        <v>167</v>
      </c>
      <c r="C255" s="22" t="s">
        <v>592</v>
      </c>
      <c r="D255" s="22" t="s">
        <v>37</v>
      </c>
      <c r="E255" s="22" t="s">
        <v>175</v>
      </c>
      <c r="F255" s="31">
        <f>F256</f>
        <v>67833.5</v>
      </c>
      <c r="G255" s="31">
        <f>G256</f>
        <v>67833.5</v>
      </c>
      <c r="H255" s="31">
        <f t="shared" si="14"/>
        <v>100</v>
      </c>
    </row>
    <row r="256" spans="1:8" s="24" customFormat="1" x14ac:dyDescent="0.2">
      <c r="A256" s="68" t="s">
        <v>176</v>
      </c>
      <c r="B256" s="22" t="s">
        <v>167</v>
      </c>
      <c r="C256" s="22" t="s">
        <v>592</v>
      </c>
      <c r="D256" s="22" t="s">
        <v>37</v>
      </c>
      <c r="E256" s="22" t="s">
        <v>177</v>
      </c>
      <c r="F256" s="31">
        <f>80000.5-10000-2167</f>
        <v>67833.5</v>
      </c>
      <c r="G256" s="31">
        <v>67833.5</v>
      </c>
      <c r="H256" s="31">
        <f t="shared" si="14"/>
        <v>100</v>
      </c>
    </row>
    <row r="257" spans="1:8" s="24" customFormat="1" x14ac:dyDescent="0.2">
      <c r="A257" s="67" t="s">
        <v>600</v>
      </c>
      <c r="B257" s="17" t="s">
        <v>167</v>
      </c>
      <c r="C257" s="17" t="s">
        <v>592</v>
      </c>
      <c r="D257" s="17" t="s">
        <v>601</v>
      </c>
      <c r="E257" s="17"/>
      <c r="F257" s="35">
        <f>F258</f>
        <v>10000</v>
      </c>
      <c r="G257" s="35">
        <f>G258</f>
        <v>8334.7000000000007</v>
      </c>
      <c r="H257" s="35">
        <f t="shared" si="14"/>
        <v>83.347000000000008</v>
      </c>
    </row>
    <row r="258" spans="1:8" s="24" customFormat="1" x14ac:dyDescent="0.2">
      <c r="A258" s="68" t="s">
        <v>378</v>
      </c>
      <c r="B258" s="22" t="s">
        <v>167</v>
      </c>
      <c r="C258" s="22" t="s">
        <v>592</v>
      </c>
      <c r="D258" s="22" t="s">
        <v>601</v>
      </c>
      <c r="E258" s="22" t="s">
        <v>175</v>
      </c>
      <c r="F258" s="31">
        <f>F259</f>
        <v>10000</v>
      </c>
      <c r="G258" s="31">
        <f>G259</f>
        <v>8334.7000000000007</v>
      </c>
      <c r="H258" s="31">
        <f t="shared" ref="H258:H309" si="19">G258/F258*100</f>
        <v>83.347000000000008</v>
      </c>
    </row>
    <row r="259" spans="1:8" s="24" customFormat="1" x14ac:dyDescent="0.2">
      <c r="A259" s="68" t="s">
        <v>176</v>
      </c>
      <c r="B259" s="22" t="s">
        <v>167</v>
      </c>
      <c r="C259" s="22" t="s">
        <v>592</v>
      </c>
      <c r="D259" s="22" t="s">
        <v>601</v>
      </c>
      <c r="E259" s="22" t="s">
        <v>177</v>
      </c>
      <c r="F259" s="31">
        <v>10000</v>
      </c>
      <c r="G259" s="31">
        <v>8334.7000000000007</v>
      </c>
      <c r="H259" s="31">
        <f t="shared" si="19"/>
        <v>83.347000000000008</v>
      </c>
    </row>
    <row r="260" spans="1:8" s="24" customFormat="1" ht="36" x14ac:dyDescent="0.2">
      <c r="A260" s="64" t="s">
        <v>630</v>
      </c>
      <c r="B260" s="16" t="s">
        <v>389</v>
      </c>
      <c r="C260" s="16" t="s">
        <v>592</v>
      </c>
      <c r="D260" s="16" t="s">
        <v>15</v>
      </c>
      <c r="E260" s="16"/>
      <c r="F260" s="32">
        <f>F261</f>
        <v>400000</v>
      </c>
      <c r="G260" s="32">
        <f>G261</f>
        <v>400000</v>
      </c>
      <c r="H260" s="32">
        <f t="shared" si="19"/>
        <v>100</v>
      </c>
    </row>
    <row r="261" spans="1:8" s="24" customFormat="1" x14ac:dyDescent="0.2">
      <c r="A261" s="68" t="s">
        <v>378</v>
      </c>
      <c r="B261" s="22" t="s">
        <v>167</v>
      </c>
      <c r="C261" s="22" t="s">
        <v>592</v>
      </c>
      <c r="D261" s="22" t="s">
        <v>15</v>
      </c>
      <c r="E261" s="22" t="s">
        <v>175</v>
      </c>
      <c r="F261" s="31">
        <f>F262</f>
        <v>400000</v>
      </c>
      <c r="G261" s="31">
        <f>G262</f>
        <v>400000</v>
      </c>
      <c r="H261" s="31">
        <f t="shared" si="19"/>
        <v>100</v>
      </c>
    </row>
    <row r="262" spans="1:8" s="24" customFormat="1" x14ac:dyDescent="0.2">
      <c r="A262" s="68" t="s">
        <v>176</v>
      </c>
      <c r="B262" s="22" t="s">
        <v>167</v>
      </c>
      <c r="C262" s="22" t="s">
        <v>592</v>
      </c>
      <c r="D262" s="22" t="s">
        <v>15</v>
      </c>
      <c r="E262" s="22" t="s">
        <v>177</v>
      </c>
      <c r="F262" s="31">
        <f>400000</f>
        <v>400000</v>
      </c>
      <c r="G262" s="31">
        <v>400000</v>
      </c>
      <c r="H262" s="31">
        <f t="shared" si="19"/>
        <v>100</v>
      </c>
    </row>
    <row r="263" spans="1:8" s="24" customFormat="1" ht="24" x14ac:dyDescent="0.2">
      <c r="A263" s="64" t="s">
        <v>17</v>
      </c>
      <c r="B263" s="16" t="s">
        <v>389</v>
      </c>
      <c r="C263" s="16" t="s">
        <v>592</v>
      </c>
      <c r="D263" s="16" t="s">
        <v>18</v>
      </c>
      <c r="E263" s="16"/>
      <c r="F263" s="32">
        <f>F264</f>
        <v>115635</v>
      </c>
      <c r="G263" s="32">
        <f>G264</f>
        <v>70013.498000000007</v>
      </c>
      <c r="H263" s="32">
        <f t="shared" si="19"/>
        <v>60.546977991092668</v>
      </c>
    </row>
    <row r="264" spans="1:8" s="24" customFormat="1" x14ac:dyDescent="0.2">
      <c r="A264" s="68" t="s">
        <v>378</v>
      </c>
      <c r="B264" s="22" t="s">
        <v>167</v>
      </c>
      <c r="C264" s="22" t="s">
        <v>592</v>
      </c>
      <c r="D264" s="22" t="s">
        <v>18</v>
      </c>
      <c r="E264" s="22" t="s">
        <v>175</v>
      </c>
      <c r="F264" s="31">
        <f>F265</f>
        <v>115635</v>
      </c>
      <c r="G264" s="31">
        <f>G265</f>
        <v>70013.498000000007</v>
      </c>
      <c r="H264" s="31">
        <f t="shared" si="19"/>
        <v>60.546977991092668</v>
      </c>
    </row>
    <row r="265" spans="1:8" s="24" customFormat="1" x14ac:dyDescent="0.2">
      <c r="A265" s="68" t="s">
        <v>176</v>
      </c>
      <c r="B265" s="22" t="s">
        <v>167</v>
      </c>
      <c r="C265" s="22" t="s">
        <v>592</v>
      </c>
      <c r="D265" s="22" t="s">
        <v>18</v>
      </c>
      <c r="E265" s="22" t="s">
        <v>177</v>
      </c>
      <c r="F265" s="31">
        <v>115635</v>
      </c>
      <c r="G265" s="31">
        <v>70013.498000000007</v>
      </c>
      <c r="H265" s="31">
        <f t="shared" si="19"/>
        <v>60.546977991092668</v>
      </c>
    </row>
    <row r="266" spans="1:8" s="24" customFormat="1" ht="36" x14ac:dyDescent="0.2">
      <c r="A266" s="50" t="s">
        <v>19</v>
      </c>
      <c r="B266" s="16" t="s">
        <v>167</v>
      </c>
      <c r="C266" s="16" t="s">
        <v>592</v>
      </c>
      <c r="D266" s="16" t="s">
        <v>20</v>
      </c>
      <c r="E266" s="16"/>
      <c r="F266" s="95">
        <f>F267</f>
        <v>3072.3</v>
      </c>
      <c r="G266" s="95">
        <f>G267</f>
        <v>2981.6909999999998</v>
      </c>
      <c r="H266" s="32">
        <f t="shared" si="19"/>
        <v>97.050776291377787</v>
      </c>
    </row>
    <row r="267" spans="1:8" s="24" customFormat="1" x14ac:dyDescent="0.2">
      <c r="A267" s="68" t="s">
        <v>378</v>
      </c>
      <c r="B267" s="22" t="s">
        <v>167</v>
      </c>
      <c r="C267" s="22" t="s">
        <v>592</v>
      </c>
      <c r="D267" s="22" t="s">
        <v>20</v>
      </c>
      <c r="E267" s="22" t="s">
        <v>175</v>
      </c>
      <c r="F267" s="96">
        <f>F268</f>
        <v>3072.3</v>
      </c>
      <c r="G267" s="96">
        <f>G268</f>
        <v>2981.6909999999998</v>
      </c>
      <c r="H267" s="31">
        <f t="shared" si="19"/>
        <v>97.050776291377787</v>
      </c>
    </row>
    <row r="268" spans="1:8" s="24" customFormat="1" x14ac:dyDescent="0.2">
      <c r="A268" s="68" t="s">
        <v>176</v>
      </c>
      <c r="B268" s="22" t="s">
        <v>167</v>
      </c>
      <c r="C268" s="22" t="s">
        <v>592</v>
      </c>
      <c r="D268" s="22" t="s">
        <v>20</v>
      </c>
      <c r="E268" s="22" t="s">
        <v>177</v>
      </c>
      <c r="F268" s="96">
        <f>3072.3</f>
        <v>3072.3</v>
      </c>
      <c r="G268" s="96">
        <v>2981.6909999999998</v>
      </c>
      <c r="H268" s="31">
        <f t="shared" si="19"/>
        <v>97.050776291377787</v>
      </c>
    </row>
    <row r="269" spans="1:8" s="24" customFormat="1" x14ac:dyDescent="0.2">
      <c r="A269" s="64" t="s">
        <v>568</v>
      </c>
      <c r="B269" s="16" t="s">
        <v>167</v>
      </c>
      <c r="C269" s="16" t="s">
        <v>592</v>
      </c>
      <c r="D269" s="16" t="s">
        <v>417</v>
      </c>
      <c r="E269" s="16"/>
      <c r="F269" s="32">
        <f>F270+F278</f>
        <v>18658.3</v>
      </c>
      <c r="G269" s="32">
        <f>G270+G278</f>
        <v>17865.727999999999</v>
      </c>
      <c r="H269" s="32">
        <f t="shared" si="19"/>
        <v>95.752174635416935</v>
      </c>
    </row>
    <row r="270" spans="1:8" s="24" customFormat="1" x14ac:dyDescent="0.2">
      <c r="A270" s="88" t="s">
        <v>425</v>
      </c>
      <c r="B270" s="25" t="s">
        <v>167</v>
      </c>
      <c r="C270" s="25" t="s">
        <v>592</v>
      </c>
      <c r="D270" s="45" t="s">
        <v>38</v>
      </c>
      <c r="E270" s="25"/>
      <c r="F270" s="85">
        <f>F271</f>
        <v>3922.3</v>
      </c>
      <c r="G270" s="85">
        <f>G271</f>
        <v>3699.2429999999999</v>
      </c>
      <c r="H270" s="85">
        <f t="shared" si="19"/>
        <v>94.313107105524821</v>
      </c>
    </row>
    <row r="271" spans="1:8" s="24" customFormat="1" x14ac:dyDescent="0.2">
      <c r="A271" s="64" t="s">
        <v>593</v>
      </c>
      <c r="B271" s="16" t="s">
        <v>167</v>
      </c>
      <c r="C271" s="16" t="s">
        <v>592</v>
      </c>
      <c r="D271" s="16" t="s">
        <v>38</v>
      </c>
      <c r="E271" s="16"/>
      <c r="F271" s="32">
        <f>F272+F274+F276</f>
        <v>3922.3</v>
      </c>
      <c r="G271" s="32">
        <f>G272+G274+G276</f>
        <v>3699.2429999999999</v>
      </c>
      <c r="H271" s="32">
        <f t="shared" si="19"/>
        <v>94.313107105524821</v>
      </c>
    </row>
    <row r="272" spans="1:8" s="24" customFormat="1" ht="24" x14ac:dyDescent="0.2">
      <c r="A272" s="68" t="s">
        <v>168</v>
      </c>
      <c r="B272" s="22" t="s">
        <v>167</v>
      </c>
      <c r="C272" s="22" t="s">
        <v>592</v>
      </c>
      <c r="D272" s="22" t="s">
        <v>38</v>
      </c>
      <c r="E272" s="22" t="s">
        <v>169</v>
      </c>
      <c r="F272" s="31">
        <f>F273</f>
        <v>3468.3</v>
      </c>
      <c r="G272" s="31">
        <f>G273</f>
        <v>3415.9229999999998</v>
      </c>
      <c r="H272" s="31">
        <f t="shared" si="19"/>
        <v>98.489836519332229</v>
      </c>
    </row>
    <row r="273" spans="1:8" s="24" customFormat="1" x14ac:dyDescent="0.2">
      <c r="A273" s="68" t="s">
        <v>594</v>
      </c>
      <c r="B273" s="22" t="s">
        <v>167</v>
      </c>
      <c r="C273" s="22" t="s">
        <v>592</v>
      </c>
      <c r="D273" s="22" t="s">
        <v>38</v>
      </c>
      <c r="E273" s="22" t="s">
        <v>595</v>
      </c>
      <c r="F273" s="31">
        <f>2863.5+864.8-260</f>
        <v>3468.3</v>
      </c>
      <c r="G273" s="31">
        <v>3415.9229999999998</v>
      </c>
      <c r="H273" s="31">
        <f t="shared" si="19"/>
        <v>98.489836519332229</v>
      </c>
    </row>
    <row r="274" spans="1:8" s="24" customFormat="1" x14ac:dyDescent="0.2">
      <c r="A274" s="68" t="s">
        <v>378</v>
      </c>
      <c r="B274" s="22" t="s">
        <v>167</v>
      </c>
      <c r="C274" s="22" t="s">
        <v>592</v>
      </c>
      <c r="D274" s="22" t="s">
        <v>38</v>
      </c>
      <c r="E274" s="22" t="s">
        <v>175</v>
      </c>
      <c r="F274" s="31">
        <f>F275</f>
        <v>410.72550999999999</v>
      </c>
      <c r="G274" s="31">
        <f>G275</f>
        <v>244.27099999999999</v>
      </c>
      <c r="H274" s="31">
        <f t="shared" si="19"/>
        <v>59.473052939906268</v>
      </c>
    </row>
    <row r="275" spans="1:8" s="24" customFormat="1" x14ac:dyDescent="0.2">
      <c r="A275" s="68" t="s">
        <v>176</v>
      </c>
      <c r="B275" s="22" t="s">
        <v>167</v>
      </c>
      <c r="C275" s="22" t="s">
        <v>592</v>
      </c>
      <c r="D275" s="22" t="s">
        <v>38</v>
      </c>
      <c r="E275" s="22" t="s">
        <v>177</v>
      </c>
      <c r="F275" s="31">
        <f>419-0.07549-8.199</f>
        <v>410.72550999999999</v>
      </c>
      <c r="G275" s="31">
        <v>244.27099999999999</v>
      </c>
      <c r="H275" s="31">
        <f t="shared" si="19"/>
        <v>59.473052939906268</v>
      </c>
    </row>
    <row r="276" spans="1:8" s="24" customFormat="1" x14ac:dyDescent="0.2">
      <c r="A276" s="68" t="s">
        <v>178</v>
      </c>
      <c r="B276" s="22" t="s">
        <v>167</v>
      </c>
      <c r="C276" s="22" t="s">
        <v>592</v>
      </c>
      <c r="D276" s="22" t="s">
        <v>38</v>
      </c>
      <c r="E276" s="22" t="s">
        <v>179</v>
      </c>
      <c r="F276" s="31">
        <f>F277</f>
        <v>43.27449</v>
      </c>
      <c r="G276" s="31">
        <f>G277</f>
        <v>39.048999999999999</v>
      </c>
      <c r="H276" s="31">
        <f t="shared" si="19"/>
        <v>90.235609940174911</v>
      </c>
    </row>
    <row r="277" spans="1:8" s="24" customFormat="1" x14ac:dyDescent="0.2">
      <c r="A277" s="68" t="s">
        <v>233</v>
      </c>
      <c r="B277" s="22" t="s">
        <v>167</v>
      </c>
      <c r="C277" s="22" t="s">
        <v>592</v>
      </c>
      <c r="D277" s="22" t="s">
        <v>38</v>
      </c>
      <c r="E277" s="22" t="s">
        <v>180</v>
      </c>
      <c r="F277" s="31">
        <f>35+0.07549+8.199</f>
        <v>43.27449</v>
      </c>
      <c r="G277" s="31">
        <v>39.048999999999999</v>
      </c>
      <c r="H277" s="31">
        <f t="shared" si="19"/>
        <v>90.235609940174911</v>
      </c>
    </row>
    <row r="278" spans="1:8" s="24" customFormat="1" x14ac:dyDescent="0.2">
      <c r="A278" s="101" t="s">
        <v>426</v>
      </c>
      <c r="B278" s="17" t="s">
        <v>167</v>
      </c>
      <c r="C278" s="17" t="s">
        <v>592</v>
      </c>
      <c r="D278" s="44" t="s">
        <v>39</v>
      </c>
      <c r="E278" s="17"/>
      <c r="F278" s="35">
        <f>F279</f>
        <v>14736</v>
      </c>
      <c r="G278" s="35">
        <f>G279</f>
        <v>14166.485000000001</v>
      </c>
      <c r="H278" s="35">
        <f t="shared" si="19"/>
        <v>96.135213083604782</v>
      </c>
    </row>
    <row r="279" spans="1:8" s="24" customFormat="1" x14ac:dyDescent="0.2">
      <c r="A279" s="68" t="s">
        <v>191</v>
      </c>
      <c r="B279" s="22" t="s">
        <v>167</v>
      </c>
      <c r="C279" s="22" t="s">
        <v>592</v>
      </c>
      <c r="D279" s="22" t="s">
        <v>39</v>
      </c>
      <c r="E279" s="22" t="s">
        <v>522</v>
      </c>
      <c r="F279" s="31">
        <f>F280</f>
        <v>14736</v>
      </c>
      <c r="G279" s="31">
        <f>G280</f>
        <v>14166.485000000001</v>
      </c>
      <c r="H279" s="31">
        <f t="shared" si="19"/>
        <v>96.135213083604782</v>
      </c>
    </row>
    <row r="280" spans="1:8" s="24" customFormat="1" x14ac:dyDescent="0.2">
      <c r="A280" s="68" t="s">
        <v>192</v>
      </c>
      <c r="B280" s="22" t="s">
        <v>167</v>
      </c>
      <c r="C280" s="22" t="s">
        <v>592</v>
      </c>
      <c r="D280" s="22" t="s">
        <v>39</v>
      </c>
      <c r="E280" s="22" t="s">
        <v>536</v>
      </c>
      <c r="F280" s="31">
        <f>12456+2280</f>
        <v>14736</v>
      </c>
      <c r="G280" s="31">
        <v>14166.485000000001</v>
      </c>
      <c r="H280" s="31">
        <f t="shared" si="19"/>
        <v>96.135213083604782</v>
      </c>
    </row>
    <row r="281" spans="1:8" s="24" customFormat="1" x14ac:dyDescent="0.2">
      <c r="A281" s="64" t="s">
        <v>518</v>
      </c>
      <c r="B281" s="16" t="s">
        <v>167</v>
      </c>
      <c r="C281" s="16" t="s">
        <v>597</v>
      </c>
      <c r="D281" s="30"/>
      <c r="E281" s="22"/>
      <c r="F281" s="32">
        <f>F282+F286+F291+F304</f>
        <v>26460.841</v>
      </c>
      <c r="G281" s="32">
        <f>G282+G286+G291+G304</f>
        <v>26093.014999999999</v>
      </c>
      <c r="H281" s="32">
        <f t="shared" si="19"/>
        <v>98.609923244692027</v>
      </c>
    </row>
    <row r="282" spans="1:8" s="24" customFormat="1" ht="27" x14ac:dyDescent="0.2">
      <c r="A282" s="70" t="s">
        <v>519</v>
      </c>
      <c r="B282" s="43" t="s">
        <v>167</v>
      </c>
      <c r="C282" s="43" t="s">
        <v>597</v>
      </c>
      <c r="D282" s="43" t="s">
        <v>298</v>
      </c>
      <c r="E282" s="43"/>
      <c r="F282" s="93">
        <f t="shared" ref="F282:G284" si="20">F283</f>
        <v>170</v>
      </c>
      <c r="G282" s="93">
        <f t="shared" si="20"/>
        <v>170</v>
      </c>
      <c r="H282" s="47">
        <f t="shared" si="19"/>
        <v>100</v>
      </c>
    </row>
    <row r="283" spans="1:8" s="24" customFormat="1" ht="36" x14ac:dyDescent="0.2">
      <c r="A283" s="50" t="s">
        <v>14</v>
      </c>
      <c r="B283" s="16" t="s">
        <v>167</v>
      </c>
      <c r="C283" s="16" t="s">
        <v>597</v>
      </c>
      <c r="D283" s="16" t="s">
        <v>21</v>
      </c>
      <c r="E283" s="16"/>
      <c r="F283" s="27">
        <f t="shared" si="20"/>
        <v>170</v>
      </c>
      <c r="G283" s="27">
        <f t="shared" si="20"/>
        <v>170</v>
      </c>
      <c r="H283" s="32">
        <f t="shared" si="19"/>
        <v>100</v>
      </c>
    </row>
    <row r="284" spans="1:8" s="24" customFormat="1" x14ac:dyDescent="0.2">
      <c r="A284" s="68" t="s">
        <v>378</v>
      </c>
      <c r="B284" s="22" t="s">
        <v>167</v>
      </c>
      <c r="C284" s="22" t="s">
        <v>597</v>
      </c>
      <c r="D284" s="22" t="s">
        <v>21</v>
      </c>
      <c r="E284" s="22" t="s">
        <v>175</v>
      </c>
      <c r="F284" s="94">
        <f t="shared" si="20"/>
        <v>170</v>
      </c>
      <c r="G284" s="94">
        <f t="shared" si="20"/>
        <v>170</v>
      </c>
      <c r="H284" s="31">
        <f t="shared" si="19"/>
        <v>100</v>
      </c>
    </row>
    <row r="285" spans="1:8" s="24" customFormat="1" x14ac:dyDescent="0.2">
      <c r="A285" s="68" t="s">
        <v>176</v>
      </c>
      <c r="B285" s="22" t="s">
        <v>167</v>
      </c>
      <c r="C285" s="22" t="s">
        <v>597</v>
      </c>
      <c r="D285" s="22" t="s">
        <v>21</v>
      </c>
      <c r="E285" s="22" t="s">
        <v>177</v>
      </c>
      <c r="F285" s="94">
        <f>300-130</f>
        <v>170</v>
      </c>
      <c r="G285" s="94">
        <v>170</v>
      </c>
      <c r="H285" s="31">
        <f t="shared" si="19"/>
        <v>100</v>
      </c>
    </row>
    <row r="286" spans="1:8" s="24" customFormat="1" ht="27" x14ac:dyDescent="0.2">
      <c r="A286" s="70" t="s">
        <v>49</v>
      </c>
      <c r="B286" s="43" t="s">
        <v>167</v>
      </c>
      <c r="C286" s="43" t="s">
        <v>597</v>
      </c>
      <c r="D286" s="43" t="s">
        <v>320</v>
      </c>
      <c r="E286" s="43"/>
      <c r="F286" s="47">
        <f t="shared" ref="F286:G289" si="21">F287</f>
        <v>3500</v>
      </c>
      <c r="G286" s="47">
        <f t="shared" si="21"/>
        <v>3200.241</v>
      </c>
      <c r="H286" s="47">
        <f t="shared" si="19"/>
        <v>91.435457142857146</v>
      </c>
    </row>
    <row r="287" spans="1:8" s="120" customFormat="1" ht="12" x14ac:dyDescent="0.2">
      <c r="A287" s="64" t="s">
        <v>322</v>
      </c>
      <c r="B287" s="16" t="s">
        <v>167</v>
      </c>
      <c r="C287" s="16" t="s">
        <v>597</v>
      </c>
      <c r="D287" s="16" t="s">
        <v>321</v>
      </c>
      <c r="E287" s="16"/>
      <c r="F287" s="32">
        <f t="shared" si="21"/>
        <v>3500</v>
      </c>
      <c r="G287" s="32">
        <f t="shared" si="21"/>
        <v>3200.241</v>
      </c>
      <c r="H287" s="32">
        <f t="shared" si="19"/>
        <v>91.435457142857146</v>
      </c>
    </row>
    <row r="288" spans="1:8" s="118" customFormat="1" ht="12" x14ac:dyDescent="0.2">
      <c r="A288" s="103" t="s">
        <v>530</v>
      </c>
      <c r="B288" s="17" t="s">
        <v>167</v>
      </c>
      <c r="C288" s="17" t="s">
        <v>597</v>
      </c>
      <c r="D288" s="102" t="s">
        <v>50</v>
      </c>
      <c r="E288" s="17"/>
      <c r="F288" s="35">
        <f t="shared" si="21"/>
        <v>3500</v>
      </c>
      <c r="G288" s="35">
        <f t="shared" si="21"/>
        <v>3200.241</v>
      </c>
      <c r="H288" s="35">
        <f t="shared" si="19"/>
        <v>91.435457142857146</v>
      </c>
    </row>
    <row r="289" spans="1:8" s="24" customFormat="1" x14ac:dyDescent="0.2">
      <c r="A289" s="68" t="s">
        <v>378</v>
      </c>
      <c r="B289" s="22" t="s">
        <v>167</v>
      </c>
      <c r="C289" s="22" t="s">
        <v>597</v>
      </c>
      <c r="D289" s="22" t="s">
        <v>50</v>
      </c>
      <c r="E289" s="22" t="s">
        <v>175</v>
      </c>
      <c r="F289" s="31">
        <f t="shared" si="21"/>
        <v>3500</v>
      </c>
      <c r="G289" s="31">
        <f t="shared" si="21"/>
        <v>3200.241</v>
      </c>
      <c r="H289" s="31">
        <f t="shared" si="19"/>
        <v>91.435457142857146</v>
      </c>
    </row>
    <row r="290" spans="1:8" s="24" customFormat="1" x14ac:dyDescent="0.2">
      <c r="A290" s="68" t="s">
        <v>176</v>
      </c>
      <c r="B290" s="22" t="s">
        <v>167</v>
      </c>
      <c r="C290" s="22" t="s">
        <v>597</v>
      </c>
      <c r="D290" s="22" t="s">
        <v>50</v>
      </c>
      <c r="E290" s="22" t="s">
        <v>177</v>
      </c>
      <c r="F290" s="31">
        <f>2000+1500</f>
        <v>3500</v>
      </c>
      <c r="G290" s="31">
        <v>3200.241</v>
      </c>
      <c r="H290" s="31">
        <f t="shared" si="19"/>
        <v>91.435457142857146</v>
      </c>
    </row>
    <row r="291" spans="1:8" s="24" customFormat="1" ht="27" x14ac:dyDescent="0.2">
      <c r="A291" s="70" t="s">
        <v>440</v>
      </c>
      <c r="B291" s="43" t="s">
        <v>167</v>
      </c>
      <c r="C291" s="43" t="s">
        <v>597</v>
      </c>
      <c r="D291" s="43" t="s">
        <v>353</v>
      </c>
      <c r="E291" s="43"/>
      <c r="F291" s="47">
        <f>F292+F295+F298+F301</f>
        <v>11640.841</v>
      </c>
      <c r="G291" s="47">
        <f>G292+G295+G298+G301</f>
        <v>11639.274000000001</v>
      </c>
      <c r="H291" s="47">
        <f t="shared" si="19"/>
        <v>99.9865387732725</v>
      </c>
    </row>
    <row r="292" spans="1:8" s="24" customFormat="1" x14ac:dyDescent="0.2">
      <c r="A292" s="64" t="s">
        <v>306</v>
      </c>
      <c r="B292" s="16" t="s">
        <v>167</v>
      </c>
      <c r="C292" s="16" t="s">
        <v>597</v>
      </c>
      <c r="D292" s="16" t="s">
        <v>614</v>
      </c>
      <c r="E292" s="16"/>
      <c r="F292" s="32">
        <f>F293</f>
        <v>6800</v>
      </c>
      <c r="G292" s="32">
        <f>G293</f>
        <v>6799.884</v>
      </c>
      <c r="H292" s="32">
        <f t="shared" si="19"/>
        <v>99.998294117647063</v>
      </c>
    </row>
    <row r="293" spans="1:8" s="24" customFormat="1" x14ac:dyDescent="0.2">
      <c r="A293" s="68" t="s">
        <v>378</v>
      </c>
      <c r="B293" s="22" t="s">
        <v>167</v>
      </c>
      <c r="C293" s="22" t="s">
        <v>597</v>
      </c>
      <c r="D293" s="22" t="s">
        <v>614</v>
      </c>
      <c r="E293" s="22" t="s">
        <v>175</v>
      </c>
      <c r="F293" s="31">
        <f>F294</f>
        <v>6800</v>
      </c>
      <c r="G293" s="31">
        <f>G294</f>
        <v>6799.884</v>
      </c>
      <c r="H293" s="31">
        <f t="shared" si="19"/>
        <v>99.998294117647063</v>
      </c>
    </row>
    <row r="294" spans="1:8" s="24" customFormat="1" x14ac:dyDescent="0.2">
      <c r="A294" s="68" t="s">
        <v>176</v>
      </c>
      <c r="B294" s="22" t="s">
        <v>167</v>
      </c>
      <c r="C294" s="22" t="s">
        <v>597</v>
      </c>
      <c r="D294" s="22" t="s">
        <v>614</v>
      </c>
      <c r="E294" s="22" t="s">
        <v>177</v>
      </c>
      <c r="F294" s="31">
        <f>5500+1000+300</f>
        <v>6800</v>
      </c>
      <c r="G294" s="31">
        <v>6799.884</v>
      </c>
      <c r="H294" s="31">
        <f t="shared" si="19"/>
        <v>99.998294117647063</v>
      </c>
    </row>
    <row r="295" spans="1:8" s="24" customFormat="1" x14ac:dyDescent="0.2">
      <c r="A295" s="64" t="s">
        <v>615</v>
      </c>
      <c r="B295" s="16" t="s">
        <v>167</v>
      </c>
      <c r="C295" s="16" t="s">
        <v>597</v>
      </c>
      <c r="D295" s="16" t="s">
        <v>616</v>
      </c>
      <c r="E295" s="16"/>
      <c r="F295" s="32">
        <f>F296</f>
        <v>1938.0409999999999</v>
      </c>
      <c r="G295" s="32">
        <f>G296</f>
        <v>1938.0409999999999</v>
      </c>
      <c r="H295" s="32">
        <f t="shared" si="19"/>
        <v>100</v>
      </c>
    </row>
    <row r="296" spans="1:8" s="24" customFormat="1" x14ac:dyDescent="0.2">
      <c r="A296" s="68" t="s">
        <v>378</v>
      </c>
      <c r="B296" s="22" t="s">
        <v>167</v>
      </c>
      <c r="C296" s="22" t="s">
        <v>597</v>
      </c>
      <c r="D296" s="22" t="s">
        <v>616</v>
      </c>
      <c r="E296" s="22" t="s">
        <v>175</v>
      </c>
      <c r="F296" s="31">
        <f>F297</f>
        <v>1938.0409999999999</v>
      </c>
      <c r="G296" s="31">
        <f>G297</f>
        <v>1938.0409999999999</v>
      </c>
      <c r="H296" s="31">
        <f t="shared" si="19"/>
        <v>100</v>
      </c>
    </row>
    <row r="297" spans="1:8" s="24" customFormat="1" x14ac:dyDescent="0.2">
      <c r="A297" s="68" t="s">
        <v>176</v>
      </c>
      <c r="B297" s="22" t="s">
        <v>167</v>
      </c>
      <c r="C297" s="22" t="s">
        <v>597</v>
      </c>
      <c r="D297" s="22" t="s">
        <v>616</v>
      </c>
      <c r="E297" s="22" t="s">
        <v>177</v>
      </c>
      <c r="F297" s="31">
        <f>2000-61.959</f>
        <v>1938.0409999999999</v>
      </c>
      <c r="G297" s="31">
        <v>1938.0409999999999</v>
      </c>
      <c r="H297" s="31">
        <f t="shared" si="19"/>
        <v>100</v>
      </c>
    </row>
    <row r="298" spans="1:8" s="24" customFormat="1" x14ac:dyDescent="0.2">
      <c r="A298" s="61" t="s">
        <v>217</v>
      </c>
      <c r="B298" s="16" t="s">
        <v>167</v>
      </c>
      <c r="C298" s="16" t="s">
        <v>597</v>
      </c>
      <c r="D298" s="16" t="s">
        <v>617</v>
      </c>
      <c r="E298" s="16"/>
      <c r="F298" s="32">
        <f>F299</f>
        <v>100</v>
      </c>
      <c r="G298" s="32">
        <f>G299</f>
        <v>98.549000000000007</v>
      </c>
      <c r="H298" s="32">
        <f t="shared" si="19"/>
        <v>98.549000000000007</v>
      </c>
    </row>
    <row r="299" spans="1:8" s="24" customFormat="1" x14ac:dyDescent="0.2">
      <c r="A299" s="68" t="s">
        <v>378</v>
      </c>
      <c r="B299" s="22" t="s">
        <v>167</v>
      </c>
      <c r="C299" s="22" t="s">
        <v>597</v>
      </c>
      <c r="D299" s="22" t="s">
        <v>617</v>
      </c>
      <c r="E299" s="22" t="s">
        <v>175</v>
      </c>
      <c r="F299" s="31">
        <f>F300</f>
        <v>100</v>
      </c>
      <c r="G299" s="31">
        <f>G300</f>
        <v>98.549000000000007</v>
      </c>
      <c r="H299" s="31">
        <f t="shared" si="19"/>
        <v>98.549000000000007</v>
      </c>
    </row>
    <row r="300" spans="1:8" s="24" customFormat="1" x14ac:dyDescent="0.2">
      <c r="A300" s="68" t="s">
        <v>176</v>
      </c>
      <c r="B300" s="22" t="s">
        <v>167</v>
      </c>
      <c r="C300" s="22" t="s">
        <v>597</v>
      </c>
      <c r="D300" s="22" t="s">
        <v>617</v>
      </c>
      <c r="E300" s="22" t="s">
        <v>177</v>
      </c>
      <c r="F300" s="31">
        <v>100</v>
      </c>
      <c r="G300" s="31">
        <v>98.549000000000007</v>
      </c>
      <c r="H300" s="31">
        <f t="shared" si="19"/>
        <v>98.549000000000007</v>
      </c>
    </row>
    <row r="301" spans="1:8" s="24" customFormat="1" x14ac:dyDescent="0.2">
      <c r="A301" s="64" t="s">
        <v>307</v>
      </c>
      <c r="B301" s="16" t="s">
        <v>167</v>
      </c>
      <c r="C301" s="16" t="s">
        <v>597</v>
      </c>
      <c r="D301" s="16" t="s">
        <v>618</v>
      </c>
      <c r="E301" s="16"/>
      <c r="F301" s="113">
        <f>F302</f>
        <v>2802.8</v>
      </c>
      <c r="G301" s="113">
        <f>G302</f>
        <v>2802.8</v>
      </c>
      <c r="H301" s="32">
        <f t="shared" si="19"/>
        <v>100</v>
      </c>
    </row>
    <row r="302" spans="1:8" s="24" customFormat="1" x14ac:dyDescent="0.2">
      <c r="A302" s="68" t="s">
        <v>378</v>
      </c>
      <c r="B302" s="22" t="s">
        <v>167</v>
      </c>
      <c r="C302" s="22" t="s">
        <v>597</v>
      </c>
      <c r="D302" s="22" t="s">
        <v>618</v>
      </c>
      <c r="E302" s="22" t="s">
        <v>175</v>
      </c>
      <c r="F302" s="114">
        <f>F303</f>
        <v>2802.8</v>
      </c>
      <c r="G302" s="114">
        <f>G303</f>
        <v>2802.8</v>
      </c>
      <c r="H302" s="31">
        <f t="shared" si="19"/>
        <v>100</v>
      </c>
    </row>
    <row r="303" spans="1:8" s="24" customFormat="1" x14ac:dyDescent="0.2">
      <c r="A303" s="68" t="s">
        <v>176</v>
      </c>
      <c r="B303" s="22" t="s">
        <v>167</v>
      </c>
      <c r="C303" s="22" t="s">
        <v>597</v>
      </c>
      <c r="D303" s="22" t="s">
        <v>618</v>
      </c>
      <c r="E303" s="22" t="s">
        <v>177</v>
      </c>
      <c r="F303" s="114">
        <v>2802.8</v>
      </c>
      <c r="G303" s="114">
        <v>2802.8</v>
      </c>
      <c r="H303" s="31">
        <f t="shared" si="19"/>
        <v>100</v>
      </c>
    </row>
    <row r="304" spans="1:8" s="24" customFormat="1" x14ac:dyDescent="0.2">
      <c r="A304" s="65" t="s">
        <v>163</v>
      </c>
      <c r="B304" s="17" t="s">
        <v>167</v>
      </c>
      <c r="C304" s="17" t="s">
        <v>597</v>
      </c>
      <c r="D304" s="17" t="s">
        <v>293</v>
      </c>
      <c r="E304" s="17"/>
      <c r="F304" s="35">
        <f>F305</f>
        <v>11150</v>
      </c>
      <c r="G304" s="35">
        <f>G305</f>
        <v>11083.5</v>
      </c>
      <c r="H304" s="35">
        <f t="shared" si="19"/>
        <v>99.403587443946179</v>
      </c>
    </row>
    <row r="305" spans="1:8" s="24" customFormat="1" x14ac:dyDescent="0.2">
      <c r="A305" s="64" t="s">
        <v>381</v>
      </c>
      <c r="B305" s="16" t="s">
        <v>167</v>
      </c>
      <c r="C305" s="16" t="s">
        <v>597</v>
      </c>
      <c r="D305" s="16" t="s">
        <v>294</v>
      </c>
      <c r="E305" s="16"/>
      <c r="F305" s="32">
        <f>F306+F309+F312</f>
        <v>11150</v>
      </c>
      <c r="G305" s="32">
        <f>G306+G309+G312</f>
        <v>11083.5</v>
      </c>
      <c r="H305" s="32">
        <f t="shared" si="19"/>
        <v>99.403587443946179</v>
      </c>
    </row>
    <row r="306" spans="1:8" s="24" customFormat="1" ht="13.5" customHeight="1" x14ac:dyDescent="0.2">
      <c r="A306" s="64" t="s">
        <v>22</v>
      </c>
      <c r="B306" s="16" t="s">
        <v>167</v>
      </c>
      <c r="C306" s="16" t="s">
        <v>597</v>
      </c>
      <c r="D306" s="16" t="s">
        <v>24</v>
      </c>
      <c r="E306" s="16"/>
      <c r="F306" s="32">
        <f>F307</f>
        <v>10500</v>
      </c>
      <c r="G306" s="32">
        <f>G307</f>
        <v>10450</v>
      </c>
      <c r="H306" s="32">
        <f t="shared" si="19"/>
        <v>99.523809523809518</v>
      </c>
    </row>
    <row r="307" spans="1:8" s="24" customFormat="1" x14ac:dyDescent="0.2">
      <c r="A307" s="68" t="s">
        <v>378</v>
      </c>
      <c r="B307" s="22" t="s">
        <v>167</v>
      </c>
      <c r="C307" s="22" t="s">
        <v>597</v>
      </c>
      <c r="D307" s="22" t="s">
        <v>24</v>
      </c>
      <c r="E307" s="23">
        <v>200</v>
      </c>
      <c r="F307" s="31">
        <f>F308</f>
        <v>10500</v>
      </c>
      <c r="G307" s="31">
        <f>G308</f>
        <v>10450</v>
      </c>
      <c r="H307" s="31">
        <f t="shared" si="19"/>
        <v>99.523809523809518</v>
      </c>
    </row>
    <row r="308" spans="1:8" s="24" customFormat="1" x14ac:dyDescent="0.2">
      <c r="A308" s="68" t="s">
        <v>176</v>
      </c>
      <c r="B308" s="22" t="s">
        <v>167</v>
      </c>
      <c r="C308" s="22" t="s">
        <v>597</v>
      </c>
      <c r="D308" s="22" t="s">
        <v>24</v>
      </c>
      <c r="E308" s="22" t="s">
        <v>177</v>
      </c>
      <c r="F308" s="31">
        <f>13200-2700</f>
        <v>10500</v>
      </c>
      <c r="G308" s="31">
        <v>10450</v>
      </c>
      <c r="H308" s="31">
        <f t="shared" si="19"/>
        <v>99.523809523809518</v>
      </c>
    </row>
    <row r="309" spans="1:8" s="24" customFormat="1" x14ac:dyDescent="0.2">
      <c r="A309" s="64" t="s">
        <v>23</v>
      </c>
      <c r="B309" s="16" t="s">
        <v>167</v>
      </c>
      <c r="C309" s="16" t="s">
        <v>597</v>
      </c>
      <c r="D309" s="16" t="s">
        <v>25</v>
      </c>
      <c r="E309" s="16"/>
      <c r="F309" s="32">
        <f>F310</f>
        <v>350</v>
      </c>
      <c r="G309" s="32">
        <f>G310</f>
        <v>350</v>
      </c>
      <c r="H309" s="32">
        <f t="shared" si="19"/>
        <v>100</v>
      </c>
    </row>
    <row r="310" spans="1:8" s="24" customFormat="1" x14ac:dyDescent="0.2">
      <c r="A310" s="68" t="s">
        <v>378</v>
      </c>
      <c r="B310" s="22" t="s">
        <v>167</v>
      </c>
      <c r="C310" s="22" t="s">
        <v>597</v>
      </c>
      <c r="D310" s="22" t="s">
        <v>25</v>
      </c>
      <c r="E310" s="23">
        <v>200</v>
      </c>
      <c r="F310" s="31">
        <f>F311</f>
        <v>350</v>
      </c>
      <c r="G310" s="31">
        <f>G311</f>
        <v>350</v>
      </c>
      <c r="H310" s="31">
        <f t="shared" ref="H310:H373" si="22">G310/F310*100</f>
        <v>100</v>
      </c>
    </row>
    <row r="311" spans="1:8" s="24" customFormat="1" x14ac:dyDescent="0.2">
      <c r="A311" s="68" t="s">
        <v>176</v>
      </c>
      <c r="B311" s="22" t="s">
        <v>167</v>
      </c>
      <c r="C311" s="22" t="s">
        <v>597</v>
      </c>
      <c r="D311" s="22" t="s">
        <v>25</v>
      </c>
      <c r="E311" s="22" t="s">
        <v>177</v>
      </c>
      <c r="F311" s="31">
        <f>1500-1150</f>
        <v>350</v>
      </c>
      <c r="G311" s="31">
        <v>350</v>
      </c>
      <c r="H311" s="31">
        <f t="shared" si="22"/>
        <v>100</v>
      </c>
    </row>
    <row r="312" spans="1:8" s="24" customFormat="1" x14ac:dyDescent="0.2">
      <c r="A312" s="64" t="s">
        <v>443</v>
      </c>
      <c r="B312" s="16" t="s">
        <v>167</v>
      </c>
      <c r="C312" s="16" t="s">
        <v>597</v>
      </c>
      <c r="D312" s="16" t="s">
        <v>206</v>
      </c>
      <c r="E312" s="16"/>
      <c r="F312" s="32">
        <f>F313</f>
        <v>300</v>
      </c>
      <c r="G312" s="32">
        <f>G313</f>
        <v>283.5</v>
      </c>
      <c r="H312" s="32">
        <f t="shared" si="22"/>
        <v>94.5</v>
      </c>
    </row>
    <row r="313" spans="1:8" s="24" customFormat="1" x14ac:dyDescent="0.2">
      <c r="A313" s="68" t="s">
        <v>378</v>
      </c>
      <c r="B313" s="22" t="s">
        <v>167</v>
      </c>
      <c r="C313" s="22" t="s">
        <v>597</v>
      </c>
      <c r="D313" s="22" t="s">
        <v>206</v>
      </c>
      <c r="E313" s="23">
        <v>200</v>
      </c>
      <c r="F313" s="31">
        <f>F314</f>
        <v>300</v>
      </c>
      <c r="G313" s="31">
        <f>G314</f>
        <v>283.5</v>
      </c>
      <c r="H313" s="31">
        <f t="shared" si="22"/>
        <v>94.5</v>
      </c>
    </row>
    <row r="314" spans="1:8" s="24" customFormat="1" x14ac:dyDescent="0.2">
      <c r="A314" s="68" t="s">
        <v>176</v>
      </c>
      <c r="B314" s="22" t="s">
        <v>167</v>
      </c>
      <c r="C314" s="22" t="s">
        <v>597</v>
      </c>
      <c r="D314" s="22" t="s">
        <v>206</v>
      </c>
      <c r="E314" s="22" t="s">
        <v>177</v>
      </c>
      <c r="F314" s="31">
        <f>1000-700</f>
        <v>300</v>
      </c>
      <c r="G314" s="31">
        <v>283.5</v>
      </c>
      <c r="H314" s="31">
        <f t="shared" si="22"/>
        <v>94.5</v>
      </c>
    </row>
    <row r="315" spans="1:8" s="39" customFormat="1" x14ac:dyDescent="0.2">
      <c r="A315" s="64" t="s">
        <v>487</v>
      </c>
      <c r="B315" s="16" t="s">
        <v>542</v>
      </c>
      <c r="C315" s="16" t="s">
        <v>166</v>
      </c>
      <c r="D315" s="16"/>
      <c r="E315" s="28"/>
      <c r="F315" s="95">
        <f>F316+F352+F384+F446</f>
        <v>973361.79766999988</v>
      </c>
      <c r="G315" s="95">
        <f>G316+G352+G384+G446</f>
        <v>868542.9219999999</v>
      </c>
      <c r="H315" s="32">
        <f t="shared" si="22"/>
        <v>89.23125235437513</v>
      </c>
    </row>
    <row r="316" spans="1:8" s="40" customFormat="1" x14ac:dyDescent="0.2">
      <c r="A316" s="64" t="s">
        <v>488</v>
      </c>
      <c r="B316" s="16" t="s">
        <v>542</v>
      </c>
      <c r="C316" s="16" t="s">
        <v>165</v>
      </c>
      <c r="D316" s="17"/>
      <c r="E316" s="17"/>
      <c r="F316" s="32">
        <f>F317+F336</f>
        <v>125327.95079</v>
      </c>
      <c r="G316" s="32">
        <f>G317+G336</f>
        <v>67431.143000000011</v>
      </c>
      <c r="H316" s="32">
        <f t="shared" si="22"/>
        <v>53.803754529576487</v>
      </c>
    </row>
    <row r="317" spans="1:8" s="40" customFormat="1" ht="27" x14ac:dyDescent="0.2">
      <c r="A317" s="70" t="s">
        <v>49</v>
      </c>
      <c r="B317" s="43" t="s">
        <v>542</v>
      </c>
      <c r="C317" s="43" t="s">
        <v>165</v>
      </c>
      <c r="D317" s="43" t="s">
        <v>320</v>
      </c>
      <c r="E317" s="17"/>
      <c r="F317" s="47">
        <f>F318+F322+F329</f>
        <v>38954</v>
      </c>
      <c r="G317" s="47">
        <f>G318+G322+G329</f>
        <v>38012.955000000002</v>
      </c>
      <c r="H317" s="47">
        <f t="shared" si="22"/>
        <v>97.584214714791813</v>
      </c>
    </row>
    <row r="318" spans="1:8" s="40" customFormat="1" x14ac:dyDescent="0.2">
      <c r="A318" s="64" t="s">
        <v>148</v>
      </c>
      <c r="B318" s="16" t="s">
        <v>542</v>
      </c>
      <c r="C318" s="16" t="s">
        <v>165</v>
      </c>
      <c r="D318" s="16" t="s">
        <v>323</v>
      </c>
      <c r="E318" s="16"/>
      <c r="F318" s="32">
        <f t="shared" ref="F318:G320" si="23">F319</f>
        <v>7000</v>
      </c>
      <c r="G318" s="32">
        <f t="shared" si="23"/>
        <v>6751.5889999999999</v>
      </c>
      <c r="H318" s="32">
        <f t="shared" si="22"/>
        <v>96.451271428571431</v>
      </c>
    </row>
    <row r="319" spans="1:8" s="40" customFormat="1" x14ac:dyDescent="0.2">
      <c r="A319" s="101" t="s">
        <v>324</v>
      </c>
      <c r="B319" s="17" t="s">
        <v>542</v>
      </c>
      <c r="C319" s="17" t="s">
        <v>165</v>
      </c>
      <c r="D319" s="102" t="s">
        <v>51</v>
      </c>
      <c r="E319" s="17"/>
      <c r="F319" s="35">
        <f t="shared" si="23"/>
        <v>7000</v>
      </c>
      <c r="G319" s="35">
        <f t="shared" si="23"/>
        <v>6751.5889999999999</v>
      </c>
      <c r="H319" s="35">
        <f t="shared" si="22"/>
        <v>96.451271428571431</v>
      </c>
    </row>
    <row r="320" spans="1:8" s="40" customFormat="1" x14ac:dyDescent="0.2">
      <c r="A320" s="68" t="s">
        <v>378</v>
      </c>
      <c r="B320" s="22" t="s">
        <v>542</v>
      </c>
      <c r="C320" s="22" t="s">
        <v>165</v>
      </c>
      <c r="D320" s="22" t="s">
        <v>51</v>
      </c>
      <c r="E320" s="22" t="s">
        <v>175</v>
      </c>
      <c r="F320" s="31">
        <f t="shared" si="23"/>
        <v>7000</v>
      </c>
      <c r="G320" s="31">
        <f t="shared" si="23"/>
        <v>6751.5889999999999</v>
      </c>
      <c r="H320" s="31">
        <f t="shared" si="22"/>
        <v>96.451271428571431</v>
      </c>
    </row>
    <row r="321" spans="1:8" s="40" customFormat="1" x14ac:dyDescent="0.2">
      <c r="A321" s="68" t="s">
        <v>176</v>
      </c>
      <c r="B321" s="22" t="s">
        <v>542</v>
      </c>
      <c r="C321" s="22" t="s">
        <v>165</v>
      </c>
      <c r="D321" s="22" t="s">
        <v>51</v>
      </c>
      <c r="E321" s="22" t="s">
        <v>177</v>
      </c>
      <c r="F321" s="31">
        <v>7000</v>
      </c>
      <c r="G321" s="31">
        <v>6751.5889999999999</v>
      </c>
      <c r="H321" s="31">
        <f t="shared" si="22"/>
        <v>96.451271428571431</v>
      </c>
    </row>
    <row r="322" spans="1:8" s="40" customFormat="1" x14ac:dyDescent="0.2">
      <c r="A322" s="64" t="s">
        <v>229</v>
      </c>
      <c r="B322" s="16" t="s">
        <v>542</v>
      </c>
      <c r="C322" s="16" t="s">
        <v>165</v>
      </c>
      <c r="D322" s="16" t="s">
        <v>212</v>
      </c>
      <c r="E322" s="22"/>
      <c r="F322" s="32">
        <f>F323+F326</f>
        <v>23754</v>
      </c>
      <c r="G322" s="32">
        <f>G323+G326</f>
        <v>23754</v>
      </c>
      <c r="H322" s="32">
        <f t="shared" si="22"/>
        <v>100</v>
      </c>
    </row>
    <row r="323" spans="1:8" s="40" customFormat="1" ht="24" x14ac:dyDescent="0.2">
      <c r="A323" s="67" t="s">
        <v>562</v>
      </c>
      <c r="B323" s="17" t="s">
        <v>542</v>
      </c>
      <c r="C323" s="17" t="s">
        <v>165</v>
      </c>
      <c r="D323" s="17" t="s">
        <v>57</v>
      </c>
      <c r="E323" s="17"/>
      <c r="F323" s="35">
        <f>F324</f>
        <v>18885</v>
      </c>
      <c r="G323" s="35">
        <f>G324</f>
        <v>18885</v>
      </c>
      <c r="H323" s="35">
        <f t="shared" si="22"/>
        <v>100</v>
      </c>
    </row>
    <row r="324" spans="1:8" s="40" customFormat="1" x14ac:dyDescent="0.2">
      <c r="A324" s="68" t="s">
        <v>191</v>
      </c>
      <c r="B324" s="22" t="s">
        <v>542</v>
      </c>
      <c r="C324" s="22" t="s">
        <v>165</v>
      </c>
      <c r="D324" s="22" t="s">
        <v>57</v>
      </c>
      <c r="E324" s="22" t="s">
        <v>522</v>
      </c>
      <c r="F324" s="31">
        <f>F325</f>
        <v>18885</v>
      </c>
      <c r="G324" s="31">
        <f>G325</f>
        <v>18885</v>
      </c>
      <c r="H324" s="31">
        <f t="shared" si="22"/>
        <v>100</v>
      </c>
    </row>
    <row r="325" spans="1:8" s="40" customFormat="1" x14ac:dyDescent="0.2">
      <c r="A325" s="68" t="s">
        <v>220</v>
      </c>
      <c r="B325" s="22" t="s">
        <v>542</v>
      </c>
      <c r="C325" s="22" t="s">
        <v>165</v>
      </c>
      <c r="D325" s="22" t="s">
        <v>57</v>
      </c>
      <c r="E325" s="22" t="s">
        <v>582</v>
      </c>
      <c r="F325" s="31">
        <f>10495+30000-1500-110-20000</f>
        <v>18885</v>
      </c>
      <c r="G325" s="31">
        <v>18885</v>
      </c>
      <c r="H325" s="31">
        <f t="shared" si="22"/>
        <v>100</v>
      </c>
    </row>
    <row r="326" spans="1:8" s="40" customFormat="1" x14ac:dyDescent="0.2">
      <c r="A326" s="67" t="s">
        <v>237</v>
      </c>
      <c r="B326" s="17" t="s">
        <v>542</v>
      </c>
      <c r="C326" s="17" t="s">
        <v>165</v>
      </c>
      <c r="D326" s="17" t="s">
        <v>56</v>
      </c>
      <c r="E326" s="17"/>
      <c r="F326" s="100">
        <f>F327</f>
        <v>4869</v>
      </c>
      <c r="G326" s="100">
        <f>G327</f>
        <v>4869</v>
      </c>
      <c r="H326" s="35">
        <f t="shared" si="22"/>
        <v>100</v>
      </c>
    </row>
    <row r="327" spans="1:8" s="40" customFormat="1" x14ac:dyDescent="0.2">
      <c r="A327" s="68" t="s">
        <v>378</v>
      </c>
      <c r="B327" s="22" t="s">
        <v>542</v>
      </c>
      <c r="C327" s="22" t="s">
        <v>165</v>
      </c>
      <c r="D327" s="22" t="s">
        <v>56</v>
      </c>
      <c r="E327" s="22" t="s">
        <v>175</v>
      </c>
      <c r="F327" s="96">
        <f>F328</f>
        <v>4869</v>
      </c>
      <c r="G327" s="96">
        <f>G328</f>
        <v>4869</v>
      </c>
      <c r="H327" s="31">
        <f t="shared" si="22"/>
        <v>100</v>
      </c>
    </row>
    <row r="328" spans="1:8" s="40" customFormat="1" x14ac:dyDescent="0.2">
      <c r="A328" s="68" t="s">
        <v>176</v>
      </c>
      <c r="B328" s="22" t="s">
        <v>542</v>
      </c>
      <c r="C328" s="22" t="s">
        <v>165</v>
      </c>
      <c r="D328" s="22" t="s">
        <v>56</v>
      </c>
      <c r="E328" s="22" t="s">
        <v>177</v>
      </c>
      <c r="F328" s="96">
        <f>2510+2500-141</f>
        <v>4869</v>
      </c>
      <c r="G328" s="96">
        <v>4869</v>
      </c>
      <c r="H328" s="31">
        <f t="shared" si="22"/>
        <v>100</v>
      </c>
    </row>
    <row r="329" spans="1:8" s="40" customFormat="1" x14ac:dyDescent="0.2">
      <c r="A329" s="64" t="s">
        <v>52</v>
      </c>
      <c r="B329" s="16" t="s">
        <v>542</v>
      </c>
      <c r="C329" s="16" t="s">
        <v>165</v>
      </c>
      <c r="D329" s="16" t="s">
        <v>53</v>
      </c>
      <c r="E329" s="22"/>
      <c r="F329" s="32">
        <f>F330+F333</f>
        <v>8200</v>
      </c>
      <c r="G329" s="32">
        <f>G330+G333</f>
        <v>7507.366</v>
      </c>
      <c r="H329" s="32">
        <f t="shared" si="22"/>
        <v>91.553243902439021</v>
      </c>
    </row>
    <row r="330" spans="1:8" s="40" customFormat="1" ht="24" x14ac:dyDescent="0.2">
      <c r="A330" s="104" t="s">
        <v>623</v>
      </c>
      <c r="B330" s="17" t="s">
        <v>542</v>
      </c>
      <c r="C330" s="17" t="s">
        <v>165</v>
      </c>
      <c r="D330" s="17" t="s">
        <v>54</v>
      </c>
      <c r="E330" s="17"/>
      <c r="F330" s="35">
        <f>F331</f>
        <v>700</v>
      </c>
      <c r="G330" s="35">
        <f>G331</f>
        <v>586.05999999999995</v>
      </c>
      <c r="H330" s="35">
        <f t="shared" si="22"/>
        <v>83.722857142857137</v>
      </c>
    </row>
    <row r="331" spans="1:8" s="40" customFormat="1" x14ac:dyDescent="0.2">
      <c r="A331" s="68" t="s">
        <v>378</v>
      </c>
      <c r="B331" s="22" t="s">
        <v>542</v>
      </c>
      <c r="C331" s="22" t="s">
        <v>165</v>
      </c>
      <c r="D331" s="22" t="s">
        <v>54</v>
      </c>
      <c r="E331" s="22" t="s">
        <v>175</v>
      </c>
      <c r="F331" s="31">
        <f>F332</f>
        <v>700</v>
      </c>
      <c r="G331" s="31">
        <f>G332</f>
        <v>586.05999999999995</v>
      </c>
      <c r="H331" s="31">
        <f t="shared" si="22"/>
        <v>83.722857142857137</v>
      </c>
    </row>
    <row r="332" spans="1:8" s="40" customFormat="1" x14ac:dyDescent="0.2">
      <c r="A332" s="68" t="s">
        <v>176</v>
      </c>
      <c r="B332" s="22" t="s">
        <v>542</v>
      </c>
      <c r="C332" s="22" t="s">
        <v>165</v>
      </c>
      <c r="D332" s="22" t="s">
        <v>54</v>
      </c>
      <c r="E332" s="22" t="s">
        <v>177</v>
      </c>
      <c r="F332" s="31">
        <f>200+500</f>
        <v>700</v>
      </c>
      <c r="G332" s="31">
        <v>586.05999999999995</v>
      </c>
      <c r="H332" s="31">
        <f t="shared" si="22"/>
        <v>83.722857142857137</v>
      </c>
    </row>
    <row r="333" spans="1:8" s="40" customFormat="1" x14ac:dyDescent="0.2">
      <c r="A333" s="101" t="s">
        <v>325</v>
      </c>
      <c r="B333" s="17" t="s">
        <v>542</v>
      </c>
      <c r="C333" s="17" t="s">
        <v>165</v>
      </c>
      <c r="D333" s="102" t="s">
        <v>55</v>
      </c>
      <c r="E333" s="17"/>
      <c r="F333" s="35">
        <f>F334</f>
        <v>7500</v>
      </c>
      <c r="G333" s="35">
        <f>G334</f>
        <v>6921.3059999999996</v>
      </c>
      <c r="H333" s="35">
        <f t="shared" si="22"/>
        <v>92.284079999999989</v>
      </c>
    </row>
    <row r="334" spans="1:8" s="40" customFormat="1" x14ac:dyDescent="0.2">
      <c r="A334" s="68" t="s">
        <v>378</v>
      </c>
      <c r="B334" s="22" t="s">
        <v>542</v>
      </c>
      <c r="C334" s="22" t="s">
        <v>165</v>
      </c>
      <c r="D334" s="22" t="s">
        <v>55</v>
      </c>
      <c r="E334" s="22" t="s">
        <v>175</v>
      </c>
      <c r="F334" s="31">
        <f>F335</f>
        <v>7500</v>
      </c>
      <c r="G334" s="31">
        <f>G335</f>
        <v>6921.3059999999996</v>
      </c>
      <c r="H334" s="31">
        <f t="shared" si="22"/>
        <v>92.284079999999989</v>
      </c>
    </row>
    <row r="335" spans="1:8" s="40" customFormat="1" x14ac:dyDescent="0.2">
      <c r="A335" s="68" t="s">
        <v>176</v>
      </c>
      <c r="B335" s="22" t="s">
        <v>542</v>
      </c>
      <c r="C335" s="22" t="s">
        <v>165</v>
      </c>
      <c r="D335" s="22" t="s">
        <v>55</v>
      </c>
      <c r="E335" s="22" t="s">
        <v>177</v>
      </c>
      <c r="F335" s="31">
        <f>1000+6500</f>
        <v>7500</v>
      </c>
      <c r="G335" s="31">
        <v>6921.3059999999996</v>
      </c>
      <c r="H335" s="31">
        <f t="shared" si="22"/>
        <v>92.284079999999989</v>
      </c>
    </row>
    <row r="336" spans="1:8" s="40" customFormat="1" ht="27" x14ac:dyDescent="0.2">
      <c r="A336" s="70" t="s">
        <v>439</v>
      </c>
      <c r="B336" s="43" t="s">
        <v>542</v>
      </c>
      <c r="C336" s="43" t="s">
        <v>165</v>
      </c>
      <c r="D336" s="43" t="s">
        <v>353</v>
      </c>
      <c r="E336" s="43"/>
      <c r="F336" s="47">
        <f>F346+F349+F343+F337+F340</f>
        <v>86373.950790000003</v>
      </c>
      <c r="G336" s="47">
        <f>G346+G349+G343+G337+G340</f>
        <v>29418.188000000002</v>
      </c>
      <c r="H336" s="47">
        <f t="shared" si="22"/>
        <v>34.059097367821124</v>
      </c>
    </row>
    <row r="337" spans="1:8" s="40" customFormat="1" ht="54" x14ac:dyDescent="0.2">
      <c r="A337" s="115" t="s">
        <v>466</v>
      </c>
      <c r="B337" s="43" t="s">
        <v>542</v>
      </c>
      <c r="C337" s="43" t="s">
        <v>165</v>
      </c>
      <c r="D337" s="43" t="s">
        <v>463</v>
      </c>
      <c r="E337" s="43"/>
      <c r="F337" s="47">
        <f>F338</f>
        <v>65994.8</v>
      </c>
      <c r="G337" s="47">
        <f>G338</f>
        <v>11823.643</v>
      </c>
      <c r="H337" s="47">
        <f t="shared" si="22"/>
        <v>17.91602217144381</v>
      </c>
    </row>
    <row r="338" spans="1:8" s="40" customFormat="1" x14ac:dyDescent="0.2">
      <c r="A338" s="68" t="s">
        <v>305</v>
      </c>
      <c r="B338" s="22" t="s">
        <v>542</v>
      </c>
      <c r="C338" s="22" t="s">
        <v>165</v>
      </c>
      <c r="D338" s="22" t="s">
        <v>463</v>
      </c>
      <c r="E338" s="22" t="s">
        <v>544</v>
      </c>
      <c r="F338" s="31">
        <f>F339</f>
        <v>65994.8</v>
      </c>
      <c r="G338" s="31">
        <f>G339</f>
        <v>11823.643</v>
      </c>
      <c r="H338" s="31">
        <f t="shared" si="22"/>
        <v>17.91602217144381</v>
      </c>
    </row>
    <row r="339" spans="1:8" s="40" customFormat="1" x14ac:dyDescent="0.2">
      <c r="A339" s="68" t="s">
        <v>545</v>
      </c>
      <c r="B339" s="22" t="s">
        <v>542</v>
      </c>
      <c r="C339" s="22" t="s">
        <v>165</v>
      </c>
      <c r="D339" s="22" t="s">
        <v>463</v>
      </c>
      <c r="E339" s="22" t="s">
        <v>546</v>
      </c>
      <c r="F339" s="31">
        <f>19798.44+46196.36</f>
        <v>65994.8</v>
      </c>
      <c r="G339" s="31">
        <v>11823.643</v>
      </c>
      <c r="H339" s="31">
        <f t="shared" si="22"/>
        <v>17.91602217144381</v>
      </c>
    </row>
    <row r="340" spans="1:8" s="40" customFormat="1" ht="40.5" x14ac:dyDescent="0.2">
      <c r="A340" s="70" t="s">
        <v>464</v>
      </c>
      <c r="B340" s="43" t="s">
        <v>542</v>
      </c>
      <c r="C340" s="43" t="s">
        <v>165</v>
      </c>
      <c r="D340" s="43" t="s">
        <v>465</v>
      </c>
      <c r="E340" s="43"/>
      <c r="F340" s="47">
        <f>F341</f>
        <v>3449.1507900000001</v>
      </c>
      <c r="G340" s="47">
        <f>G341</f>
        <v>690.06</v>
      </c>
      <c r="H340" s="47">
        <f t="shared" si="22"/>
        <v>20.006663727218488</v>
      </c>
    </row>
    <row r="341" spans="1:8" s="40" customFormat="1" x14ac:dyDescent="0.2">
      <c r="A341" s="68" t="s">
        <v>305</v>
      </c>
      <c r="B341" s="22" t="s">
        <v>542</v>
      </c>
      <c r="C341" s="22" t="s">
        <v>165</v>
      </c>
      <c r="D341" s="22" t="s">
        <v>465</v>
      </c>
      <c r="E341" s="22" t="s">
        <v>544</v>
      </c>
      <c r="F341" s="31">
        <f>F342</f>
        <v>3449.1507900000001</v>
      </c>
      <c r="G341" s="31">
        <f>G342</f>
        <v>690.06</v>
      </c>
      <c r="H341" s="31">
        <f t="shared" si="22"/>
        <v>20.006663727218488</v>
      </c>
    </row>
    <row r="342" spans="1:8" s="40" customFormat="1" x14ac:dyDescent="0.2">
      <c r="A342" s="68" t="s">
        <v>545</v>
      </c>
      <c r="B342" s="22" t="s">
        <v>542</v>
      </c>
      <c r="C342" s="22" t="s">
        <v>165</v>
      </c>
      <c r="D342" s="22" t="s">
        <v>465</v>
      </c>
      <c r="E342" s="22" t="s">
        <v>546</v>
      </c>
      <c r="F342" s="31">
        <f>700+2749.15079</f>
        <v>3449.1507900000001</v>
      </c>
      <c r="G342" s="31">
        <v>690.06</v>
      </c>
      <c r="H342" s="31">
        <f t="shared" si="22"/>
        <v>20.006663727218488</v>
      </c>
    </row>
    <row r="343" spans="1:8" s="40" customFormat="1" ht="16.5" customHeight="1" x14ac:dyDescent="0.2">
      <c r="A343" s="64" t="s">
        <v>457</v>
      </c>
      <c r="B343" s="16" t="s">
        <v>542</v>
      </c>
      <c r="C343" s="16" t="s">
        <v>165</v>
      </c>
      <c r="D343" s="16" t="s">
        <v>458</v>
      </c>
      <c r="E343" s="16"/>
      <c r="F343" s="32">
        <f>F344</f>
        <v>8000</v>
      </c>
      <c r="G343" s="32">
        <f>G344</f>
        <v>8000</v>
      </c>
      <c r="H343" s="32">
        <f t="shared" si="22"/>
        <v>100</v>
      </c>
    </row>
    <row r="344" spans="1:8" s="40" customFormat="1" x14ac:dyDescent="0.2">
      <c r="A344" s="68" t="s">
        <v>305</v>
      </c>
      <c r="B344" s="22" t="s">
        <v>542</v>
      </c>
      <c r="C344" s="22" t="s">
        <v>165</v>
      </c>
      <c r="D344" s="22" t="s">
        <v>458</v>
      </c>
      <c r="E344" s="22" t="s">
        <v>544</v>
      </c>
      <c r="F344" s="31">
        <f>F345</f>
        <v>8000</v>
      </c>
      <c r="G344" s="31">
        <f>G345</f>
        <v>8000</v>
      </c>
      <c r="H344" s="31">
        <f t="shared" si="22"/>
        <v>100</v>
      </c>
    </row>
    <row r="345" spans="1:8" s="40" customFormat="1" x14ac:dyDescent="0.2">
      <c r="A345" s="68" t="s">
        <v>545</v>
      </c>
      <c r="B345" s="22" t="s">
        <v>542</v>
      </c>
      <c r="C345" s="22" t="s">
        <v>165</v>
      </c>
      <c r="D345" s="22" t="s">
        <v>458</v>
      </c>
      <c r="E345" s="22" t="s">
        <v>546</v>
      </c>
      <c r="F345" s="31">
        <f>4700+3300</f>
        <v>8000</v>
      </c>
      <c r="G345" s="31">
        <v>8000</v>
      </c>
      <c r="H345" s="31">
        <f t="shared" si="22"/>
        <v>100</v>
      </c>
    </row>
    <row r="346" spans="1:8" s="40" customFormat="1" ht="24" x14ac:dyDescent="0.2">
      <c r="A346" s="64" t="s">
        <v>619</v>
      </c>
      <c r="B346" s="16" t="s">
        <v>542</v>
      </c>
      <c r="C346" s="16" t="s">
        <v>165</v>
      </c>
      <c r="D346" s="16" t="s">
        <v>620</v>
      </c>
      <c r="E346" s="16"/>
      <c r="F346" s="95">
        <f>F347</f>
        <v>848</v>
      </c>
      <c r="G346" s="95">
        <f>G347</f>
        <v>847.53</v>
      </c>
      <c r="H346" s="32">
        <f t="shared" si="22"/>
        <v>99.944575471698101</v>
      </c>
    </row>
    <row r="347" spans="1:8" s="40" customFormat="1" x14ac:dyDescent="0.2">
      <c r="A347" s="68" t="s">
        <v>378</v>
      </c>
      <c r="B347" s="22" t="s">
        <v>542</v>
      </c>
      <c r="C347" s="22" t="s">
        <v>165</v>
      </c>
      <c r="D347" s="22" t="s">
        <v>620</v>
      </c>
      <c r="E347" s="22" t="s">
        <v>175</v>
      </c>
      <c r="F347" s="96">
        <f>F348</f>
        <v>848</v>
      </c>
      <c r="G347" s="96">
        <f>G348</f>
        <v>847.53</v>
      </c>
      <c r="H347" s="31">
        <f t="shared" si="22"/>
        <v>99.944575471698101</v>
      </c>
    </row>
    <row r="348" spans="1:8" s="40" customFormat="1" x14ac:dyDescent="0.2">
      <c r="A348" s="68" t="s">
        <v>176</v>
      </c>
      <c r="B348" s="22" t="s">
        <v>542</v>
      </c>
      <c r="C348" s="22" t="s">
        <v>165</v>
      </c>
      <c r="D348" s="22" t="s">
        <v>620</v>
      </c>
      <c r="E348" s="22" t="s">
        <v>177</v>
      </c>
      <c r="F348" s="96">
        <f>1000-152</f>
        <v>848</v>
      </c>
      <c r="G348" s="96">
        <v>847.53</v>
      </c>
      <c r="H348" s="31">
        <f t="shared" si="22"/>
        <v>99.944575471698101</v>
      </c>
    </row>
    <row r="349" spans="1:8" s="40" customFormat="1" x14ac:dyDescent="0.2">
      <c r="A349" s="61" t="s">
        <v>217</v>
      </c>
      <c r="B349" s="16" t="s">
        <v>542</v>
      </c>
      <c r="C349" s="16" t="s">
        <v>165</v>
      </c>
      <c r="D349" s="16" t="s">
        <v>617</v>
      </c>
      <c r="E349" s="22"/>
      <c r="F349" s="95">
        <f>F350</f>
        <v>8082</v>
      </c>
      <c r="G349" s="95">
        <f>G350</f>
        <v>8056.9549999999999</v>
      </c>
      <c r="H349" s="32">
        <f t="shared" si="22"/>
        <v>99.690113833209608</v>
      </c>
    </row>
    <row r="350" spans="1:8" s="40" customFormat="1" x14ac:dyDescent="0.2">
      <c r="A350" s="68" t="s">
        <v>305</v>
      </c>
      <c r="B350" s="22" t="s">
        <v>542</v>
      </c>
      <c r="C350" s="22" t="s">
        <v>165</v>
      </c>
      <c r="D350" s="22" t="s">
        <v>617</v>
      </c>
      <c r="E350" s="22" t="s">
        <v>544</v>
      </c>
      <c r="F350" s="96">
        <f>F351</f>
        <v>8082</v>
      </c>
      <c r="G350" s="96">
        <f>G351</f>
        <v>8056.9549999999999</v>
      </c>
      <c r="H350" s="31">
        <f t="shared" si="22"/>
        <v>99.690113833209608</v>
      </c>
    </row>
    <row r="351" spans="1:8" s="40" customFormat="1" x14ac:dyDescent="0.2">
      <c r="A351" s="68" t="s">
        <v>545</v>
      </c>
      <c r="B351" s="22" t="s">
        <v>542</v>
      </c>
      <c r="C351" s="22" t="s">
        <v>165</v>
      </c>
      <c r="D351" s="22" t="s">
        <v>617</v>
      </c>
      <c r="E351" s="22" t="s">
        <v>546</v>
      </c>
      <c r="F351" s="96">
        <f>3500+700+2900+500+660-198+20</f>
        <v>8082</v>
      </c>
      <c r="G351" s="96">
        <v>8056.9549999999999</v>
      </c>
      <c r="H351" s="31">
        <f t="shared" si="22"/>
        <v>99.690113833209608</v>
      </c>
    </row>
    <row r="352" spans="1:8" s="40" customFormat="1" x14ac:dyDescent="0.2">
      <c r="A352" s="64" t="s">
        <v>489</v>
      </c>
      <c r="B352" s="16" t="s">
        <v>542</v>
      </c>
      <c r="C352" s="16" t="s">
        <v>599</v>
      </c>
      <c r="D352" s="22"/>
      <c r="E352" s="22"/>
      <c r="F352" s="95">
        <f>F353</f>
        <v>84148.340479999999</v>
      </c>
      <c r="G352" s="95">
        <f>G353</f>
        <v>51719.642999999996</v>
      </c>
      <c r="H352" s="32">
        <f t="shared" si="22"/>
        <v>61.462463436569479</v>
      </c>
    </row>
    <row r="353" spans="1:8" s="40" customFormat="1" x14ac:dyDescent="0.2">
      <c r="A353" s="67" t="s">
        <v>490</v>
      </c>
      <c r="B353" s="17" t="s">
        <v>542</v>
      </c>
      <c r="C353" s="17" t="s">
        <v>599</v>
      </c>
      <c r="D353" s="22"/>
      <c r="E353" s="22"/>
      <c r="F353" s="100">
        <f>F354+F371</f>
        <v>84148.340479999999</v>
      </c>
      <c r="G353" s="100">
        <f>G354+G371</f>
        <v>51719.642999999996</v>
      </c>
      <c r="H353" s="35">
        <f t="shared" si="22"/>
        <v>61.462463436569479</v>
      </c>
    </row>
    <row r="354" spans="1:8" s="40" customFormat="1" ht="27" x14ac:dyDescent="0.2">
      <c r="A354" s="70" t="s">
        <v>49</v>
      </c>
      <c r="B354" s="43" t="s">
        <v>542</v>
      </c>
      <c r="C354" s="43" t="s">
        <v>599</v>
      </c>
      <c r="D354" s="43" t="s">
        <v>320</v>
      </c>
      <c r="E354" s="17"/>
      <c r="F354" s="47">
        <f>F355+F362+F368</f>
        <v>63200</v>
      </c>
      <c r="G354" s="47">
        <f>G355+G362+G368</f>
        <v>30773.98</v>
      </c>
      <c r="H354" s="35">
        <f t="shared" si="22"/>
        <v>48.693006329113928</v>
      </c>
    </row>
    <row r="355" spans="1:8" s="40" customFormat="1" ht="27" x14ac:dyDescent="0.2">
      <c r="A355" s="70" t="s">
        <v>210</v>
      </c>
      <c r="B355" s="43" t="s">
        <v>542</v>
      </c>
      <c r="C355" s="43" t="s">
        <v>599</v>
      </c>
      <c r="D355" s="43" t="s">
        <v>326</v>
      </c>
      <c r="E355" s="17"/>
      <c r="F355" s="47">
        <f>F356+F359</f>
        <v>3000</v>
      </c>
      <c r="G355" s="47">
        <f>G356+G359</f>
        <v>1899.749</v>
      </c>
      <c r="H355" s="35">
        <f t="shared" si="22"/>
        <v>63.324966666666668</v>
      </c>
    </row>
    <row r="356" spans="1:8" s="40" customFormat="1" x14ac:dyDescent="0.2">
      <c r="A356" s="64" t="s">
        <v>453</v>
      </c>
      <c r="B356" s="16" t="s">
        <v>542</v>
      </c>
      <c r="C356" s="16" t="s">
        <v>599</v>
      </c>
      <c r="D356" s="16" t="s">
        <v>454</v>
      </c>
      <c r="E356" s="22"/>
      <c r="F356" s="95">
        <f>F357</f>
        <v>1100</v>
      </c>
      <c r="G356" s="95">
        <f>G357</f>
        <v>0</v>
      </c>
      <c r="H356" s="95">
        <f t="shared" si="22"/>
        <v>0</v>
      </c>
    </row>
    <row r="357" spans="1:8" s="40" customFormat="1" x14ac:dyDescent="0.2">
      <c r="A357" s="68" t="s">
        <v>543</v>
      </c>
      <c r="B357" s="42" t="s">
        <v>542</v>
      </c>
      <c r="C357" s="42" t="s">
        <v>599</v>
      </c>
      <c r="D357" s="22" t="s">
        <v>454</v>
      </c>
      <c r="E357" s="22" t="s">
        <v>544</v>
      </c>
      <c r="F357" s="96">
        <f>F358</f>
        <v>1100</v>
      </c>
      <c r="G357" s="96">
        <f>G358</f>
        <v>0</v>
      </c>
      <c r="H357" s="96">
        <f t="shared" si="22"/>
        <v>0</v>
      </c>
    </row>
    <row r="358" spans="1:8" s="40" customFormat="1" x14ac:dyDescent="0.2">
      <c r="A358" s="68" t="s">
        <v>545</v>
      </c>
      <c r="B358" s="22" t="s">
        <v>542</v>
      </c>
      <c r="C358" s="22" t="s">
        <v>599</v>
      </c>
      <c r="D358" s="22" t="s">
        <v>454</v>
      </c>
      <c r="E358" s="22" t="s">
        <v>546</v>
      </c>
      <c r="F358" s="96">
        <v>1100</v>
      </c>
      <c r="G358" s="96">
        <v>0</v>
      </c>
      <c r="H358" s="96">
        <f t="shared" si="22"/>
        <v>0</v>
      </c>
    </row>
    <row r="359" spans="1:8" s="40" customFormat="1" ht="24" x14ac:dyDescent="0.2">
      <c r="A359" s="64" t="s">
        <v>529</v>
      </c>
      <c r="B359" s="16" t="s">
        <v>542</v>
      </c>
      <c r="C359" s="16" t="s">
        <v>599</v>
      </c>
      <c r="D359" s="16" t="s">
        <v>60</v>
      </c>
      <c r="E359" s="16"/>
      <c r="F359" s="95">
        <f>F360</f>
        <v>1900</v>
      </c>
      <c r="G359" s="95">
        <f>G360</f>
        <v>1899.749</v>
      </c>
      <c r="H359" s="32">
        <f t="shared" si="22"/>
        <v>99.986789473684212</v>
      </c>
    </row>
    <row r="360" spans="1:8" s="40" customFormat="1" x14ac:dyDescent="0.2">
      <c r="A360" s="68" t="s">
        <v>378</v>
      </c>
      <c r="B360" s="22" t="s">
        <v>542</v>
      </c>
      <c r="C360" s="22" t="s">
        <v>599</v>
      </c>
      <c r="D360" s="22" t="s">
        <v>60</v>
      </c>
      <c r="E360" s="22" t="s">
        <v>175</v>
      </c>
      <c r="F360" s="96">
        <f>F361</f>
        <v>1900</v>
      </c>
      <c r="G360" s="96">
        <f>G361</f>
        <v>1899.749</v>
      </c>
      <c r="H360" s="31">
        <f t="shared" si="22"/>
        <v>99.986789473684212</v>
      </c>
    </row>
    <row r="361" spans="1:8" s="40" customFormat="1" x14ac:dyDescent="0.2">
      <c r="A361" s="68" t="s">
        <v>176</v>
      </c>
      <c r="B361" s="22" t="s">
        <v>542</v>
      </c>
      <c r="C361" s="22" t="s">
        <v>599</v>
      </c>
      <c r="D361" s="22" t="s">
        <v>60</v>
      </c>
      <c r="E361" s="22" t="s">
        <v>177</v>
      </c>
      <c r="F361" s="96">
        <f>1000+900</f>
        <v>1900</v>
      </c>
      <c r="G361" s="96">
        <v>1899.749</v>
      </c>
      <c r="H361" s="31">
        <f t="shared" si="22"/>
        <v>99.986789473684212</v>
      </c>
    </row>
    <row r="362" spans="1:8" s="40" customFormat="1" ht="24" x14ac:dyDescent="0.2">
      <c r="A362" s="64" t="s">
        <v>531</v>
      </c>
      <c r="B362" s="16" t="s">
        <v>542</v>
      </c>
      <c r="C362" s="16" t="s">
        <v>599</v>
      </c>
      <c r="D362" s="16" t="s">
        <v>230</v>
      </c>
      <c r="E362" s="22"/>
      <c r="F362" s="32">
        <f>F363</f>
        <v>59700</v>
      </c>
      <c r="G362" s="32">
        <f>G363</f>
        <v>28391.398000000001</v>
      </c>
      <c r="H362" s="32">
        <f t="shared" si="22"/>
        <v>47.556780569514238</v>
      </c>
    </row>
    <row r="363" spans="1:8" s="40" customFormat="1" ht="24" x14ac:dyDescent="0.2">
      <c r="A363" s="67" t="s">
        <v>532</v>
      </c>
      <c r="B363" s="17" t="s">
        <v>542</v>
      </c>
      <c r="C363" s="17" t="s">
        <v>599</v>
      </c>
      <c r="D363" s="17" t="s">
        <v>58</v>
      </c>
      <c r="E363" s="25"/>
      <c r="F363" s="35">
        <f>F364+F366</f>
        <v>59700</v>
      </c>
      <c r="G363" s="35">
        <f>G364+G366</f>
        <v>28391.398000000001</v>
      </c>
      <c r="H363" s="35">
        <f t="shared" si="22"/>
        <v>47.556780569514238</v>
      </c>
    </row>
    <row r="364" spans="1:8" s="40" customFormat="1" x14ac:dyDescent="0.2">
      <c r="A364" s="68" t="s">
        <v>378</v>
      </c>
      <c r="B364" s="22" t="s">
        <v>542</v>
      </c>
      <c r="C364" s="22" t="s">
        <v>599</v>
      </c>
      <c r="D364" s="22" t="s">
        <v>58</v>
      </c>
      <c r="E364" s="22" t="s">
        <v>175</v>
      </c>
      <c r="F364" s="31">
        <f>F365</f>
        <v>15260</v>
      </c>
      <c r="G364" s="31">
        <f>G365</f>
        <v>15191.397999999999</v>
      </c>
      <c r="H364" s="31">
        <f t="shared" si="22"/>
        <v>99.550445609436437</v>
      </c>
    </row>
    <row r="365" spans="1:8" s="40" customFormat="1" x14ac:dyDescent="0.2">
      <c r="A365" s="68" t="s">
        <v>176</v>
      </c>
      <c r="B365" s="22" t="s">
        <v>542</v>
      </c>
      <c r="C365" s="22" t="s">
        <v>599</v>
      </c>
      <c r="D365" s="22" t="s">
        <v>58</v>
      </c>
      <c r="E365" s="22" t="s">
        <v>177</v>
      </c>
      <c r="F365" s="31">
        <f>3000+500+4760+7000</f>
        <v>15260</v>
      </c>
      <c r="G365" s="31">
        <v>15191.397999999999</v>
      </c>
      <c r="H365" s="31">
        <f t="shared" si="22"/>
        <v>99.550445609436437</v>
      </c>
    </row>
    <row r="366" spans="1:8" s="40" customFormat="1" x14ac:dyDescent="0.2">
      <c r="A366" s="68" t="s">
        <v>543</v>
      </c>
      <c r="B366" s="42" t="s">
        <v>542</v>
      </c>
      <c r="C366" s="42" t="s">
        <v>599</v>
      </c>
      <c r="D366" s="22" t="s">
        <v>58</v>
      </c>
      <c r="E366" s="22" t="s">
        <v>544</v>
      </c>
      <c r="F366" s="31">
        <f>F367</f>
        <v>44440</v>
      </c>
      <c r="G366" s="31">
        <f>G367</f>
        <v>13200</v>
      </c>
      <c r="H366" s="31">
        <f t="shared" si="22"/>
        <v>29.702970297029701</v>
      </c>
    </row>
    <row r="367" spans="1:8" s="40" customFormat="1" x14ac:dyDescent="0.2">
      <c r="A367" s="68" t="s">
        <v>545</v>
      </c>
      <c r="B367" s="22" t="s">
        <v>542</v>
      </c>
      <c r="C367" s="22" t="s">
        <v>599</v>
      </c>
      <c r="D367" s="22" t="s">
        <v>58</v>
      </c>
      <c r="E367" s="22" t="s">
        <v>546</v>
      </c>
      <c r="F367" s="31">
        <f>40600+8600-4760</f>
        <v>44440</v>
      </c>
      <c r="G367" s="31">
        <v>13200</v>
      </c>
      <c r="H367" s="31">
        <f t="shared" si="22"/>
        <v>29.702970297029701</v>
      </c>
    </row>
    <row r="368" spans="1:8" s="40" customFormat="1" x14ac:dyDescent="0.2">
      <c r="A368" s="64" t="s">
        <v>231</v>
      </c>
      <c r="B368" s="16" t="s">
        <v>542</v>
      </c>
      <c r="C368" s="16" t="s">
        <v>599</v>
      </c>
      <c r="D368" s="16" t="s">
        <v>59</v>
      </c>
      <c r="E368" s="16"/>
      <c r="F368" s="32">
        <f>F369</f>
        <v>500</v>
      </c>
      <c r="G368" s="32">
        <f>G369</f>
        <v>482.83300000000003</v>
      </c>
      <c r="H368" s="32">
        <f t="shared" si="22"/>
        <v>96.566600000000008</v>
      </c>
    </row>
    <row r="369" spans="1:8" s="40" customFormat="1" x14ac:dyDescent="0.2">
      <c r="A369" s="68" t="s">
        <v>378</v>
      </c>
      <c r="B369" s="22" t="s">
        <v>542</v>
      </c>
      <c r="C369" s="22" t="s">
        <v>599</v>
      </c>
      <c r="D369" s="22" t="s">
        <v>59</v>
      </c>
      <c r="E369" s="22" t="s">
        <v>175</v>
      </c>
      <c r="F369" s="31">
        <f>F370</f>
        <v>500</v>
      </c>
      <c r="G369" s="31">
        <f>G370</f>
        <v>482.83300000000003</v>
      </c>
      <c r="H369" s="31">
        <f t="shared" si="22"/>
        <v>96.566600000000008</v>
      </c>
    </row>
    <row r="370" spans="1:8" s="40" customFormat="1" x14ac:dyDescent="0.2">
      <c r="A370" s="68" t="s">
        <v>176</v>
      </c>
      <c r="B370" s="22" t="s">
        <v>542</v>
      </c>
      <c r="C370" s="22" t="s">
        <v>599</v>
      </c>
      <c r="D370" s="22" t="s">
        <v>59</v>
      </c>
      <c r="E370" s="22" t="s">
        <v>177</v>
      </c>
      <c r="F370" s="31">
        <f>1000-500</f>
        <v>500</v>
      </c>
      <c r="G370" s="31">
        <v>482.83300000000003</v>
      </c>
      <c r="H370" s="31">
        <f t="shared" si="22"/>
        <v>96.566600000000008</v>
      </c>
    </row>
    <row r="371" spans="1:8" s="40" customFormat="1" ht="27" x14ac:dyDescent="0.2">
      <c r="A371" s="70" t="s">
        <v>439</v>
      </c>
      <c r="B371" s="43" t="s">
        <v>542</v>
      </c>
      <c r="C371" s="43" t="s">
        <v>599</v>
      </c>
      <c r="D371" s="43" t="s">
        <v>353</v>
      </c>
      <c r="E371" s="43"/>
      <c r="F371" s="47">
        <f>F372+F375+F378+F381</f>
        <v>20948.340480000003</v>
      </c>
      <c r="G371" s="47">
        <f>G372+G375+G378+G381</f>
        <v>20945.663</v>
      </c>
      <c r="H371" s="35">
        <f t="shared" si="22"/>
        <v>99.987218653417642</v>
      </c>
    </row>
    <row r="372" spans="1:8" s="40" customFormat="1" x14ac:dyDescent="0.2">
      <c r="A372" s="64" t="s">
        <v>621</v>
      </c>
      <c r="B372" s="16" t="s">
        <v>542</v>
      </c>
      <c r="C372" s="16" t="s">
        <v>599</v>
      </c>
      <c r="D372" s="16" t="s">
        <v>622</v>
      </c>
      <c r="E372" s="16"/>
      <c r="F372" s="32">
        <f>F373</f>
        <v>369.21199999999999</v>
      </c>
      <c r="G372" s="32">
        <f>G373</f>
        <v>369.21199999999999</v>
      </c>
      <c r="H372" s="32">
        <f t="shared" si="22"/>
        <v>100</v>
      </c>
    </row>
    <row r="373" spans="1:8" s="40" customFormat="1" x14ac:dyDescent="0.2">
      <c r="A373" s="68" t="s">
        <v>378</v>
      </c>
      <c r="B373" s="22" t="s">
        <v>542</v>
      </c>
      <c r="C373" s="22" t="s">
        <v>599</v>
      </c>
      <c r="D373" s="22" t="s">
        <v>622</v>
      </c>
      <c r="E373" s="22" t="s">
        <v>175</v>
      </c>
      <c r="F373" s="31">
        <f>F374</f>
        <v>369.21199999999999</v>
      </c>
      <c r="G373" s="31">
        <f>G374</f>
        <v>369.21199999999999</v>
      </c>
      <c r="H373" s="31">
        <f t="shared" si="22"/>
        <v>100</v>
      </c>
    </row>
    <row r="374" spans="1:8" s="40" customFormat="1" x14ac:dyDescent="0.2">
      <c r="A374" s="68" t="s">
        <v>176</v>
      </c>
      <c r="B374" s="22" t="s">
        <v>542</v>
      </c>
      <c r="C374" s="22" t="s">
        <v>599</v>
      </c>
      <c r="D374" s="22" t="s">
        <v>622</v>
      </c>
      <c r="E374" s="22" t="s">
        <v>177</v>
      </c>
      <c r="F374" s="31">
        <f>500-130.788</f>
        <v>369.21199999999999</v>
      </c>
      <c r="G374" s="31">
        <v>369.21199999999999</v>
      </c>
      <c r="H374" s="31">
        <f t="shared" ref="H374:H434" si="24">G374/F374*100</f>
        <v>100</v>
      </c>
    </row>
    <row r="375" spans="1:8" s="40" customFormat="1" x14ac:dyDescent="0.2">
      <c r="A375" s="61" t="s">
        <v>217</v>
      </c>
      <c r="B375" s="16" t="s">
        <v>542</v>
      </c>
      <c r="C375" s="16" t="s">
        <v>599</v>
      </c>
      <c r="D375" s="89" t="s">
        <v>617</v>
      </c>
      <c r="E375" s="16"/>
      <c r="F375" s="32">
        <f>F376</f>
        <v>600</v>
      </c>
      <c r="G375" s="32">
        <f>G376</f>
        <v>597.32299999999998</v>
      </c>
      <c r="H375" s="32">
        <f t="shared" si="24"/>
        <v>99.55383333333333</v>
      </c>
    </row>
    <row r="376" spans="1:8" s="40" customFormat="1" x14ac:dyDescent="0.2">
      <c r="A376" s="68" t="s">
        <v>305</v>
      </c>
      <c r="B376" s="22" t="s">
        <v>542</v>
      </c>
      <c r="C376" s="22" t="s">
        <v>599</v>
      </c>
      <c r="D376" s="22" t="s">
        <v>617</v>
      </c>
      <c r="E376" s="22" t="s">
        <v>544</v>
      </c>
      <c r="F376" s="31">
        <f>F377</f>
        <v>600</v>
      </c>
      <c r="G376" s="31">
        <f>G377</f>
        <v>597.32299999999998</v>
      </c>
      <c r="H376" s="31">
        <f t="shared" si="24"/>
        <v>99.55383333333333</v>
      </c>
    </row>
    <row r="377" spans="1:8" s="40" customFormat="1" x14ac:dyDescent="0.2">
      <c r="A377" s="68" t="s">
        <v>545</v>
      </c>
      <c r="B377" s="22" t="s">
        <v>542</v>
      </c>
      <c r="C377" s="22" t="s">
        <v>599</v>
      </c>
      <c r="D377" s="22" t="s">
        <v>617</v>
      </c>
      <c r="E377" s="22" t="s">
        <v>546</v>
      </c>
      <c r="F377" s="31">
        <f>100+500</f>
        <v>600</v>
      </c>
      <c r="G377" s="31">
        <v>597.32299999999998</v>
      </c>
      <c r="H377" s="31">
        <f t="shared" si="24"/>
        <v>99.55383333333333</v>
      </c>
    </row>
    <row r="378" spans="1:8" s="40" customFormat="1" x14ac:dyDescent="0.2">
      <c r="A378" s="64" t="s">
        <v>0</v>
      </c>
      <c r="B378" s="16" t="s">
        <v>542</v>
      </c>
      <c r="C378" s="16" t="s">
        <v>599</v>
      </c>
      <c r="D378" s="16" t="s">
        <v>1</v>
      </c>
      <c r="E378" s="16"/>
      <c r="F378" s="32">
        <f>F379</f>
        <v>517.41800000000001</v>
      </c>
      <c r="G378" s="32">
        <f>G379</f>
        <v>517.41800000000001</v>
      </c>
      <c r="H378" s="32">
        <f t="shared" si="24"/>
        <v>100</v>
      </c>
    </row>
    <row r="379" spans="1:8" s="40" customFormat="1" x14ac:dyDescent="0.2">
      <c r="A379" s="68" t="s">
        <v>378</v>
      </c>
      <c r="B379" s="22" t="s">
        <v>542</v>
      </c>
      <c r="C379" s="22" t="s">
        <v>599</v>
      </c>
      <c r="D379" s="22" t="s">
        <v>1</v>
      </c>
      <c r="E379" s="22" t="s">
        <v>175</v>
      </c>
      <c r="F379" s="31">
        <f>F380</f>
        <v>517.41800000000001</v>
      </c>
      <c r="G379" s="31">
        <f>G380</f>
        <v>517.41800000000001</v>
      </c>
      <c r="H379" s="31">
        <f t="shared" si="24"/>
        <v>100</v>
      </c>
    </row>
    <row r="380" spans="1:8" s="40" customFormat="1" x14ac:dyDescent="0.2">
      <c r="A380" s="68" t="s">
        <v>176</v>
      </c>
      <c r="B380" s="22" t="s">
        <v>542</v>
      </c>
      <c r="C380" s="22" t="s">
        <v>599</v>
      </c>
      <c r="D380" s="22" t="s">
        <v>1</v>
      </c>
      <c r="E380" s="22" t="s">
        <v>177</v>
      </c>
      <c r="F380" s="31">
        <f>700-182.582</f>
        <v>517.41800000000001</v>
      </c>
      <c r="G380" s="31">
        <v>517.41800000000001</v>
      </c>
      <c r="H380" s="31">
        <f t="shared" si="24"/>
        <v>100</v>
      </c>
    </row>
    <row r="381" spans="1:8" s="40" customFormat="1" x14ac:dyDescent="0.2">
      <c r="A381" s="64" t="s">
        <v>307</v>
      </c>
      <c r="B381" s="16" t="s">
        <v>542</v>
      </c>
      <c r="C381" s="16" t="s">
        <v>599</v>
      </c>
      <c r="D381" s="16" t="s">
        <v>618</v>
      </c>
      <c r="E381" s="16"/>
      <c r="F381" s="32">
        <f>F382</f>
        <v>19461.710480000002</v>
      </c>
      <c r="G381" s="32">
        <f>G382</f>
        <v>19461.71</v>
      </c>
      <c r="H381" s="32">
        <f t="shared" si="24"/>
        <v>99.999997533618625</v>
      </c>
    </row>
    <row r="382" spans="1:8" s="40" customFormat="1" x14ac:dyDescent="0.2">
      <c r="A382" s="68" t="s">
        <v>305</v>
      </c>
      <c r="B382" s="9" t="s">
        <v>542</v>
      </c>
      <c r="C382" s="9" t="s">
        <v>599</v>
      </c>
      <c r="D382" s="22" t="s">
        <v>618</v>
      </c>
      <c r="E382" s="22" t="s">
        <v>544</v>
      </c>
      <c r="F382" s="31">
        <f>F383</f>
        <v>19461.710480000002</v>
      </c>
      <c r="G382" s="31">
        <f>G383</f>
        <v>19461.71</v>
      </c>
      <c r="H382" s="31">
        <f t="shared" si="24"/>
        <v>99.999997533618625</v>
      </c>
    </row>
    <row r="383" spans="1:8" s="40" customFormat="1" x14ac:dyDescent="0.2">
      <c r="A383" s="68" t="s">
        <v>545</v>
      </c>
      <c r="B383" s="9" t="s">
        <v>542</v>
      </c>
      <c r="C383" s="9" t="s">
        <v>599</v>
      </c>
      <c r="D383" s="22" t="s">
        <v>618</v>
      </c>
      <c r="E383" s="22" t="s">
        <v>546</v>
      </c>
      <c r="F383" s="31">
        <f>33726.4-500-5000-1200-11.15151-300-600-7300-3000-0.71101-213.08948+3728.26248-20+152</f>
        <v>19461.710480000002</v>
      </c>
      <c r="G383" s="31">
        <v>19461.71</v>
      </c>
      <c r="H383" s="31">
        <f t="shared" si="24"/>
        <v>99.999997533618625</v>
      </c>
    </row>
    <row r="384" spans="1:8" s="40" customFormat="1" x14ac:dyDescent="0.2">
      <c r="A384" s="64" t="s">
        <v>491</v>
      </c>
      <c r="B384" s="16" t="s">
        <v>542</v>
      </c>
      <c r="C384" s="16" t="s">
        <v>591</v>
      </c>
      <c r="D384" s="30"/>
      <c r="E384" s="22"/>
      <c r="F384" s="32">
        <f>F385+F413+F426+F439</f>
        <v>729774.44339999999</v>
      </c>
      <c r="G384" s="32">
        <f>G385+G413+G426+G439</f>
        <v>715906.76099999994</v>
      </c>
      <c r="H384" s="32">
        <f t="shared" si="24"/>
        <v>98.099730331006</v>
      </c>
    </row>
    <row r="385" spans="1:8" s="40" customFormat="1" ht="13.5" x14ac:dyDescent="0.2">
      <c r="A385" s="70" t="s">
        <v>348</v>
      </c>
      <c r="B385" s="43" t="s">
        <v>542</v>
      </c>
      <c r="C385" s="43" t="s">
        <v>591</v>
      </c>
      <c r="D385" s="77" t="s">
        <v>335</v>
      </c>
      <c r="E385" s="43"/>
      <c r="F385" s="47">
        <f>F386+F389+F392+F395+F398+F401+F404+F407+F410</f>
        <v>353853.65700000001</v>
      </c>
      <c r="G385" s="47">
        <f>G386+G389+G392+G395+G398+G401+G404+G407+G410</f>
        <v>345599.49099999998</v>
      </c>
      <c r="H385" s="47">
        <f t="shared" si="24"/>
        <v>97.667350375864558</v>
      </c>
    </row>
    <row r="386" spans="1:8" s="40" customFormat="1" x14ac:dyDescent="0.2">
      <c r="A386" s="61" t="s">
        <v>8</v>
      </c>
      <c r="B386" s="16" t="s">
        <v>542</v>
      </c>
      <c r="C386" s="16" t="s">
        <v>591</v>
      </c>
      <c r="D386" s="16" t="s">
        <v>40</v>
      </c>
      <c r="E386" s="16"/>
      <c r="F386" s="32">
        <f>F387</f>
        <v>21300</v>
      </c>
      <c r="G386" s="32">
        <f>G387</f>
        <v>19069.933000000001</v>
      </c>
      <c r="H386" s="32">
        <f t="shared" si="24"/>
        <v>89.530201877934275</v>
      </c>
    </row>
    <row r="387" spans="1:8" s="40" customFormat="1" x14ac:dyDescent="0.2">
      <c r="A387" s="68" t="s">
        <v>378</v>
      </c>
      <c r="B387" s="22" t="s">
        <v>542</v>
      </c>
      <c r="C387" s="22" t="s">
        <v>591</v>
      </c>
      <c r="D387" s="22" t="s">
        <v>40</v>
      </c>
      <c r="E387" s="22" t="s">
        <v>175</v>
      </c>
      <c r="F387" s="31">
        <f>F388</f>
        <v>21300</v>
      </c>
      <c r="G387" s="31">
        <f>G388</f>
        <v>19069.933000000001</v>
      </c>
      <c r="H387" s="31">
        <f t="shared" si="24"/>
        <v>89.530201877934275</v>
      </c>
    </row>
    <row r="388" spans="1:8" s="40" customFormat="1" x14ac:dyDescent="0.2">
      <c r="A388" s="68" t="s">
        <v>176</v>
      </c>
      <c r="B388" s="22" t="s">
        <v>542</v>
      </c>
      <c r="C388" s="22" t="s">
        <v>591</v>
      </c>
      <c r="D388" s="22" t="s">
        <v>40</v>
      </c>
      <c r="E388" s="22" t="s">
        <v>177</v>
      </c>
      <c r="F388" s="31">
        <f>16100+4200+1000</f>
        <v>21300</v>
      </c>
      <c r="G388" s="31">
        <v>19069.933000000001</v>
      </c>
      <c r="H388" s="31">
        <f t="shared" si="24"/>
        <v>89.530201877934275</v>
      </c>
    </row>
    <row r="389" spans="1:8" s="40" customFormat="1" x14ac:dyDescent="0.2">
      <c r="A389" s="61" t="s">
        <v>446</v>
      </c>
      <c r="B389" s="16" t="s">
        <v>542</v>
      </c>
      <c r="C389" s="16" t="s">
        <v>591</v>
      </c>
      <c r="D389" s="16" t="s">
        <v>41</v>
      </c>
      <c r="E389" s="16"/>
      <c r="F389" s="32">
        <f>F390</f>
        <v>2000</v>
      </c>
      <c r="G389" s="32">
        <f>G390</f>
        <v>2000</v>
      </c>
      <c r="H389" s="32">
        <f t="shared" si="24"/>
        <v>100</v>
      </c>
    </row>
    <row r="390" spans="1:8" s="40" customFormat="1" x14ac:dyDescent="0.2">
      <c r="A390" s="68" t="s">
        <v>378</v>
      </c>
      <c r="B390" s="22" t="s">
        <v>542</v>
      </c>
      <c r="C390" s="22" t="s">
        <v>591</v>
      </c>
      <c r="D390" s="22" t="s">
        <v>41</v>
      </c>
      <c r="E390" s="22" t="s">
        <v>175</v>
      </c>
      <c r="F390" s="31">
        <f>F391</f>
        <v>2000</v>
      </c>
      <c r="G390" s="31">
        <f>G391</f>
        <v>2000</v>
      </c>
      <c r="H390" s="31">
        <f t="shared" si="24"/>
        <v>100</v>
      </c>
    </row>
    <row r="391" spans="1:8" s="40" customFormat="1" x14ac:dyDescent="0.2">
      <c r="A391" s="68" t="s">
        <v>176</v>
      </c>
      <c r="B391" s="22" t="s">
        <v>542</v>
      </c>
      <c r="C391" s="22" t="s">
        <v>591</v>
      </c>
      <c r="D391" s="22" t="s">
        <v>41</v>
      </c>
      <c r="E391" s="22" t="s">
        <v>177</v>
      </c>
      <c r="F391" s="31">
        <v>2000</v>
      </c>
      <c r="G391" s="31">
        <v>2000</v>
      </c>
      <c r="H391" s="31">
        <f t="shared" si="24"/>
        <v>100</v>
      </c>
    </row>
    <row r="392" spans="1:8" s="40" customFormat="1" x14ac:dyDescent="0.2">
      <c r="A392" s="64" t="s">
        <v>447</v>
      </c>
      <c r="B392" s="16" t="s">
        <v>542</v>
      </c>
      <c r="C392" s="16" t="s">
        <v>591</v>
      </c>
      <c r="D392" s="16" t="s">
        <v>42</v>
      </c>
      <c r="E392" s="16"/>
      <c r="F392" s="32">
        <f>F393</f>
        <v>2000</v>
      </c>
      <c r="G392" s="32">
        <f>G393</f>
        <v>1990</v>
      </c>
      <c r="H392" s="32">
        <f t="shared" si="24"/>
        <v>99.5</v>
      </c>
    </row>
    <row r="393" spans="1:8" s="40" customFormat="1" x14ac:dyDescent="0.2">
      <c r="A393" s="68" t="s">
        <v>378</v>
      </c>
      <c r="B393" s="22" t="s">
        <v>542</v>
      </c>
      <c r="C393" s="22" t="s">
        <v>591</v>
      </c>
      <c r="D393" s="22" t="s">
        <v>42</v>
      </c>
      <c r="E393" s="22" t="s">
        <v>175</v>
      </c>
      <c r="F393" s="31">
        <f>F394</f>
        <v>2000</v>
      </c>
      <c r="G393" s="31">
        <f>G394</f>
        <v>1990</v>
      </c>
      <c r="H393" s="31">
        <f t="shared" si="24"/>
        <v>99.5</v>
      </c>
    </row>
    <row r="394" spans="1:8" s="40" customFormat="1" x14ac:dyDescent="0.2">
      <c r="A394" s="68" t="s">
        <v>176</v>
      </c>
      <c r="B394" s="22" t="s">
        <v>542</v>
      </c>
      <c r="C394" s="22" t="s">
        <v>591</v>
      </c>
      <c r="D394" s="22" t="s">
        <v>42</v>
      </c>
      <c r="E394" s="22" t="s">
        <v>177</v>
      </c>
      <c r="F394" s="31">
        <v>2000</v>
      </c>
      <c r="G394" s="31">
        <v>1990</v>
      </c>
      <c r="H394" s="31">
        <f t="shared" si="24"/>
        <v>99.5</v>
      </c>
    </row>
    <row r="395" spans="1:8" s="40" customFormat="1" ht="24" x14ac:dyDescent="0.2">
      <c r="A395" s="61" t="s">
        <v>427</v>
      </c>
      <c r="B395" s="16" t="s">
        <v>542</v>
      </c>
      <c r="C395" s="16" t="s">
        <v>591</v>
      </c>
      <c r="D395" s="16" t="s">
        <v>43</v>
      </c>
      <c r="E395" s="16"/>
      <c r="F395" s="32">
        <f>F396</f>
        <v>4406.2569999999996</v>
      </c>
      <c r="G395" s="32">
        <f>G396</f>
        <v>4306.1390000000001</v>
      </c>
      <c r="H395" s="32">
        <f t="shared" si="24"/>
        <v>97.727822049417469</v>
      </c>
    </row>
    <row r="396" spans="1:8" s="40" customFormat="1" x14ac:dyDescent="0.2">
      <c r="A396" s="68" t="s">
        <v>378</v>
      </c>
      <c r="B396" s="22" t="s">
        <v>542</v>
      </c>
      <c r="C396" s="22" t="s">
        <v>591</v>
      </c>
      <c r="D396" s="22" t="s">
        <v>43</v>
      </c>
      <c r="E396" s="22" t="s">
        <v>175</v>
      </c>
      <c r="F396" s="31">
        <f>F397</f>
        <v>4406.2569999999996</v>
      </c>
      <c r="G396" s="31">
        <f>G397</f>
        <v>4306.1390000000001</v>
      </c>
      <c r="H396" s="31">
        <f t="shared" si="24"/>
        <v>97.727822049417469</v>
      </c>
    </row>
    <row r="397" spans="1:8" s="40" customFormat="1" x14ac:dyDescent="0.2">
      <c r="A397" s="68" t="s">
        <v>176</v>
      </c>
      <c r="B397" s="22" t="s">
        <v>542</v>
      </c>
      <c r="C397" s="22" t="s">
        <v>591</v>
      </c>
      <c r="D397" s="22" t="s">
        <v>43</v>
      </c>
      <c r="E397" s="22" t="s">
        <v>177</v>
      </c>
      <c r="F397" s="31">
        <f>4500-93.743</f>
        <v>4406.2569999999996</v>
      </c>
      <c r="G397" s="31">
        <v>4306.1390000000001</v>
      </c>
      <c r="H397" s="31">
        <f t="shared" si="24"/>
        <v>97.727822049417469</v>
      </c>
    </row>
    <row r="398" spans="1:8" s="40" customFormat="1" x14ac:dyDescent="0.2">
      <c r="A398" s="62" t="s">
        <v>428</v>
      </c>
      <c r="B398" s="16" t="s">
        <v>542</v>
      </c>
      <c r="C398" s="16" t="s">
        <v>591</v>
      </c>
      <c r="D398" s="28" t="s">
        <v>44</v>
      </c>
      <c r="E398" s="28"/>
      <c r="F398" s="32">
        <f>F399</f>
        <v>1000</v>
      </c>
      <c r="G398" s="32">
        <f>G399</f>
        <v>978</v>
      </c>
      <c r="H398" s="32">
        <f t="shared" si="24"/>
        <v>97.8</v>
      </c>
    </row>
    <row r="399" spans="1:8" s="40" customFormat="1" x14ac:dyDescent="0.2">
      <c r="A399" s="68" t="s">
        <v>239</v>
      </c>
      <c r="B399" s="22" t="s">
        <v>542</v>
      </c>
      <c r="C399" s="22" t="s">
        <v>591</v>
      </c>
      <c r="D399" s="23" t="s">
        <v>44</v>
      </c>
      <c r="E399" s="22" t="s">
        <v>175</v>
      </c>
      <c r="F399" s="31">
        <f>F400</f>
        <v>1000</v>
      </c>
      <c r="G399" s="31">
        <f>G400</f>
        <v>978</v>
      </c>
      <c r="H399" s="31">
        <f t="shared" si="24"/>
        <v>97.8</v>
      </c>
    </row>
    <row r="400" spans="1:8" s="40" customFormat="1" x14ac:dyDescent="0.2">
      <c r="A400" s="68" t="s">
        <v>176</v>
      </c>
      <c r="B400" s="22" t="s">
        <v>542</v>
      </c>
      <c r="C400" s="22" t="s">
        <v>591</v>
      </c>
      <c r="D400" s="23" t="s">
        <v>44</v>
      </c>
      <c r="E400" s="22" t="s">
        <v>177</v>
      </c>
      <c r="F400" s="31">
        <v>1000</v>
      </c>
      <c r="G400" s="31">
        <v>978</v>
      </c>
      <c r="H400" s="31">
        <f t="shared" si="24"/>
        <v>97.8</v>
      </c>
    </row>
    <row r="401" spans="1:8" s="40" customFormat="1" x14ac:dyDescent="0.2">
      <c r="A401" s="71" t="s">
        <v>319</v>
      </c>
      <c r="B401" s="16" t="s">
        <v>542</v>
      </c>
      <c r="C401" s="16" t="s">
        <v>591</v>
      </c>
      <c r="D401" s="16" t="s">
        <v>45</v>
      </c>
      <c r="E401" s="16"/>
      <c r="F401" s="32">
        <f>F402</f>
        <v>70000</v>
      </c>
      <c r="G401" s="32">
        <f>G402</f>
        <v>69999.595000000001</v>
      </c>
      <c r="H401" s="32">
        <f t="shared" si="24"/>
        <v>99.999421428571438</v>
      </c>
    </row>
    <row r="402" spans="1:8" s="40" customFormat="1" x14ac:dyDescent="0.2">
      <c r="A402" s="68" t="s">
        <v>378</v>
      </c>
      <c r="B402" s="22" t="s">
        <v>542</v>
      </c>
      <c r="C402" s="22" t="s">
        <v>591</v>
      </c>
      <c r="D402" s="22" t="s">
        <v>45</v>
      </c>
      <c r="E402" s="22" t="s">
        <v>175</v>
      </c>
      <c r="F402" s="31">
        <f>F403</f>
        <v>70000</v>
      </c>
      <c r="G402" s="31">
        <f>G403</f>
        <v>69999.595000000001</v>
      </c>
      <c r="H402" s="31">
        <f t="shared" si="24"/>
        <v>99.999421428571438</v>
      </c>
    </row>
    <row r="403" spans="1:8" s="40" customFormat="1" x14ac:dyDescent="0.2">
      <c r="A403" s="68" t="s">
        <v>176</v>
      </c>
      <c r="B403" s="22" t="s">
        <v>542</v>
      </c>
      <c r="C403" s="22" t="s">
        <v>591</v>
      </c>
      <c r="D403" s="22" t="s">
        <v>45</v>
      </c>
      <c r="E403" s="22" t="s">
        <v>177</v>
      </c>
      <c r="F403" s="31">
        <v>70000</v>
      </c>
      <c r="G403" s="31">
        <v>69999.595000000001</v>
      </c>
      <c r="H403" s="31">
        <f t="shared" si="24"/>
        <v>99.999421428571438</v>
      </c>
    </row>
    <row r="404" spans="1:8" s="40" customFormat="1" x14ac:dyDescent="0.2">
      <c r="A404" s="71" t="s">
        <v>429</v>
      </c>
      <c r="B404" s="16" t="s">
        <v>542</v>
      </c>
      <c r="C404" s="16" t="s">
        <v>591</v>
      </c>
      <c r="D404" s="16" t="s">
        <v>46</v>
      </c>
      <c r="E404" s="16"/>
      <c r="F404" s="32">
        <f>F405</f>
        <v>18800</v>
      </c>
      <c r="G404" s="32">
        <f>G405</f>
        <v>18299.98</v>
      </c>
      <c r="H404" s="32">
        <f t="shared" si="24"/>
        <v>97.340319148936175</v>
      </c>
    </row>
    <row r="405" spans="1:8" s="40" customFormat="1" x14ac:dyDescent="0.2">
      <c r="A405" s="68" t="s">
        <v>378</v>
      </c>
      <c r="B405" s="22" t="s">
        <v>542</v>
      </c>
      <c r="C405" s="22" t="s">
        <v>591</v>
      </c>
      <c r="D405" s="22" t="s">
        <v>46</v>
      </c>
      <c r="E405" s="22" t="s">
        <v>175</v>
      </c>
      <c r="F405" s="31">
        <f>F406</f>
        <v>18800</v>
      </c>
      <c r="G405" s="31">
        <f>G406</f>
        <v>18299.98</v>
      </c>
      <c r="H405" s="31">
        <f t="shared" si="24"/>
        <v>97.340319148936175</v>
      </c>
    </row>
    <row r="406" spans="1:8" s="40" customFormat="1" x14ac:dyDescent="0.2">
      <c r="A406" s="68" t="s">
        <v>176</v>
      </c>
      <c r="B406" s="22" t="s">
        <v>542</v>
      </c>
      <c r="C406" s="22" t="s">
        <v>591</v>
      </c>
      <c r="D406" s="22" t="s">
        <v>46</v>
      </c>
      <c r="E406" s="22" t="s">
        <v>177</v>
      </c>
      <c r="F406" s="31">
        <f>23000-4200</f>
        <v>18800</v>
      </c>
      <c r="G406" s="31">
        <v>18299.98</v>
      </c>
      <c r="H406" s="31">
        <f t="shared" si="24"/>
        <v>97.340319148936175</v>
      </c>
    </row>
    <row r="407" spans="1:8" s="40" customFormat="1" ht="24" x14ac:dyDescent="0.2">
      <c r="A407" s="64" t="s">
        <v>340</v>
      </c>
      <c r="B407" s="16" t="s">
        <v>542</v>
      </c>
      <c r="C407" s="16" t="s">
        <v>591</v>
      </c>
      <c r="D407" s="16" t="s">
        <v>48</v>
      </c>
      <c r="E407" s="16"/>
      <c r="F407" s="32">
        <f>F408</f>
        <v>171000</v>
      </c>
      <c r="G407" s="32">
        <f>G408</f>
        <v>166108.90700000001</v>
      </c>
      <c r="H407" s="32">
        <f t="shared" si="24"/>
        <v>97.139711695906442</v>
      </c>
    </row>
    <row r="408" spans="1:8" s="40" customFormat="1" x14ac:dyDescent="0.2">
      <c r="A408" s="68" t="s">
        <v>191</v>
      </c>
      <c r="B408" s="22" t="s">
        <v>542</v>
      </c>
      <c r="C408" s="22" t="s">
        <v>591</v>
      </c>
      <c r="D408" s="22" t="s">
        <v>48</v>
      </c>
      <c r="E408" s="22" t="s">
        <v>522</v>
      </c>
      <c r="F408" s="31">
        <f>F409</f>
        <v>171000</v>
      </c>
      <c r="G408" s="31">
        <f>G409</f>
        <v>166108.90700000001</v>
      </c>
      <c r="H408" s="31">
        <f t="shared" si="24"/>
        <v>97.139711695906442</v>
      </c>
    </row>
    <row r="409" spans="1:8" s="40" customFormat="1" x14ac:dyDescent="0.2">
      <c r="A409" s="68" t="s">
        <v>192</v>
      </c>
      <c r="B409" s="22" t="s">
        <v>542</v>
      </c>
      <c r="C409" s="22" t="s">
        <v>591</v>
      </c>
      <c r="D409" s="22" t="s">
        <v>48</v>
      </c>
      <c r="E409" s="22" t="s">
        <v>536</v>
      </c>
      <c r="F409" s="31">
        <f>155000+6600+400+9000</f>
        <v>171000</v>
      </c>
      <c r="G409" s="31">
        <v>166108.90700000001</v>
      </c>
      <c r="H409" s="31">
        <f t="shared" si="24"/>
        <v>97.139711695906442</v>
      </c>
    </row>
    <row r="410" spans="1:8" s="40" customFormat="1" x14ac:dyDescent="0.2">
      <c r="A410" s="64" t="s">
        <v>328</v>
      </c>
      <c r="B410" s="16" t="s">
        <v>542</v>
      </c>
      <c r="C410" s="16" t="s">
        <v>591</v>
      </c>
      <c r="D410" s="16" t="s">
        <v>27</v>
      </c>
      <c r="E410" s="16"/>
      <c r="F410" s="95">
        <f>F411</f>
        <v>63347.399999999994</v>
      </c>
      <c r="G410" s="95">
        <f>G411</f>
        <v>62846.936999999998</v>
      </c>
      <c r="H410" s="32">
        <f t="shared" si="24"/>
        <v>99.209970732816188</v>
      </c>
    </row>
    <row r="411" spans="1:8" s="40" customFormat="1" x14ac:dyDescent="0.2">
      <c r="A411" s="68" t="s">
        <v>378</v>
      </c>
      <c r="B411" s="22" t="s">
        <v>542</v>
      </c>
      <c r="C411" s="22" t="s">
        <v>591</v>
      </c>
      <c r="D411" s="22" t="s">
        <v>27</v>
      </c>
      <c r="E411" s="22" t="s">
        <v>175</v>
      </c>
      <c r="F411" s="96">
        <f>F412</f>
        <v>63347.399999999994</v>
      </c>
      <c r="G411" s="96">
        <f>G412</f>
        <v>62846.936999999998</v>
      </c>
      <c r="H411" s="31">
        <f t="shared" si="24"/>
        <v>99.209970732816188</v>
      </c>
    </row>
    <row r="412" spans="1:8" s="40" customFormat="1" x14ac:dyDescent="0.2">
      <c r="A412" s="68" t="s">
        <v>176</v>
      </c>
      <c r="B412" s="22" t="s">
        <v>542</v>
      </c>
      <c r="C412" s="22" t="s">
        <v>591</v>
      </c>
      <c r="D412" s="22" t="s">
        <v>27</v>
      </c>
      <c r="E412" s="22" t="s">
        <v>177</v>
      </c>
      <c r="F412" s="96">
        <f>59000+1000+3000+4000+2937.4-600-1000-500-4490</f>
        <v>63347.399999999994</v>
      </c>
      <c r="G412" s="96">
        <v>62846.936999999998</v>
      </c>
      <c r="H412" s="31">
        <f t="shared" si="24"/>
        <v>99.209970732816188</v>
      </c>
    </row>
    <row r="413" spans="1:8" s="40" customFormat="1" ht="27" x14ac:dyDescent="0.2">
      <c r="A413" s="70" t="s">
        <v>49</v>
      </c>
      <c r="B413" s="43" t="s">
        <v>542</v>
      </c>
      <c r="C413" s="43" t="s">
        <v>591</v>
      </c>
      <c r="D413" s="43" t="s">
        <v>320</v>
      </c>
      <c r="E413" s="43"/>
      <c r="F413" s="47">
        <f>F414</f>
        <v>136387.2464</v>
      </c>
      <c r="G413" s="47">
        <f>G414</f>
        <v>135992.74599999998</v>
      </c>
      <c r="H413" s="47">
        <f t="shared" si="24"/>
        <v>99.710749787525572</v>
      </c>
    </row>
    <row r="414" spans="1:8" s="40" customFormat="1" x14ac:dyDescent="0.2">
      <c r="A414" s="64" t="s">
        <v>560</v>
      </c>
      <c r="B414" s="16" t="s">
        <v>542</v>
      </c>
      <c r="C414" s="16" t="s">
        <v>591</v>
      </c>
      <c r="D414" s="16" t="s">
        <v>212</v>
      </c>
      <c r="E414" s="16"/>
      <c r="F414" s="32">
        <f>F415+F420+F423</f>
        <v>136387.2464</v>
      </c>
      <c r="G414" s="32">
        <f>G415+G420+G423</f>
        <v>135992.74599999998</v>
      </c>
      <c r="H414" s="32">
        <f t="shared" si="24"/>
        <v>99.710749787525572</v>
      </c>
    </row>
    <row r="415" spans="1:8" s="40" customFormat="1" x14ac:dyDescent="0.2">
      <c r="A415" s="67" t="s">
        <v>149</v>
      </c>
      <c r="B415" s="17" t="s">
        <v>542</v>
      </c>
      <c r="C415" s="17" t="s">
        <v>591</v>
      </c>
      <c r="D415" s="17" t="s">
        <v>61</v>
      </c>
      <c r="E415" s="25"/>
      <c r="F415" s="35">
        <f>F416+F418</f>
        <v>24387.2464</v>
      </c>
      <c r="G415" s="35">
        <f>G416+G418</f>
        <v>24133.105000000003</v>
      </c>
      <c r="H415" s="35">
        <f t="shared" si="24"/>
        <v>98.957892187450909</v>
      </c>
    </row>
    <row r="416" spans="1:8" s="40" customFormat="1" x14ac:dyDescent="0.2">
      <c r="A416" s="68" t="s">
        <v>378</v>
      </c>
      <c r="B416" s="22" t="s">
        <v>542</v>
      </c>
      <c r="C416" s="22" t="s">
        <v>591</v>
      </c>
      <c r="D416" s="22" t="s">
        <v>61</v>
      </c>
      <c r="E416" s="22" t="s">
        <v>175</v>
      </c>
      <c r="F416" s="31">
        <f>F417</f>
        <v>319.63299999999998</v>
      </c>
      <c r="G416" s="31">
        <f>G417</f>
        <v>319.63299999999998</v>
      </c>
      <c r="H416" s="31">
        <f t="shared" si="24"/>
        <v>100</v>
      </c>
    </row>
    <row r="417" spans="1:8" s="40" customFormat="1" x14ac:dyDescent="0.2">
      <c r="A417" s="68" t="s">
        <v>176</v>
      </c>
      <c r="B417" s="22" t="s">
        <v>542</v>
      </c>
      <c r="C417" s="22" t="s">
        <v>591</v>
      </c>
      <c r="D417" s="22" t="s">
        <v>61</v>
      </c>
      <c r="E417" s="22" t="s">
        <v>177</v>
      </c>
      <c r="F417" s="31">
        <v>319.63299999999998</v>
      </c>
      <c r="G417" s="31">
        <v>319.63299999999998</v>
      </c>
      <c r="H417" s="31">
        <f t="shared" si="24"/>
        <v>100</v>
      </c>
    </row>
    <row r="418" spans="1:8" s="40" customFormat="1" x14ac:dyDescent="0.2">
      <c r="A418" s="68" t="s">
        <v>191</v>
      </c>
      <c r="B418" s="22" t="s">
        <v>542</v>
      </c>
      <c r="C418" s="22" t="s">
        <v>591</v>
      </c>
      <c r="D418" s="22" t="s">
        <v>61</v>
      </c>
      <c r="E418" s="22" t="s">
        <v>522</v>
      </c>
      <c r="F418" s="31">
        <f>F419</f>
        <v>24067.613399999998</v>
      </c>
      <c r="G418" s="31">
        <f>G419</f>
        <v>23813.472000000002</v>
      </c>
      <c r="H418" s="31">
        <f t="shared" si="24"/>
        <v>98.944052342140438</v>
      </c>
    </row>
    <row r="419" spans="1:8" s="40" customFormat="1" x14ac:dyDescent="0.2">
      <c r="A419" s="68" t="s">
        <v>192</v>
      </c>
      <c r="B419" s="22" t="s">
        <v>542</v>
      </c>
      <c r="C419" s="22" t="s">
        <v>591</v>
      </c>
      <c r="D419" s="22" t="s">
        <v>61</v>
      </c>
      <c r="E419" s="22" t="s">
        <v>536</v>
      </c>
      <c r="F419" s="31">
        <f>21500+2282.2464-319.633+605</f>
        <v>24067.613399999998</v>
      </c>
      <c r="G419" s="31">
        <v>23813.472000000002</v>
      </c>
      <c r="H419" s="31">
        <f t="shared" si="24"/>
        <v>98.944052342140438</v>
      </c>
    </row>
    <row r="420" spans="1:8" s="40" customFormat="1" x14ac:dyDescent="0.2">
      <c r="A420" s="67" t="s">
        <v>327</v>
      </c>
      <c r="B420" s="17" t="s">
        <v>542</v>
      </c>
      <c r="C420" s="17" t="s">
        <v>591</v>
      </c>
      <c r="D420" s="17" t="s">
        <v>62</v>
      </c>
      <c r="E420" s="17"/>
      <c r="F420" s="35">
        <f>F421</f>
        <v>78000</v>
      </c>
      <c r="G420" s="35">
        <f>G421</f>
        <v>77859.680999999997</v>
      </c>
      <c r="H420" s="35">
        <f t="shared" si="24"/>
        <v>99.820103846153842</v>
      </c>
    </row>
    <row r="421" spans="1:8" s="40" customFormat="1" x14ac:dyDescent="0.2">
      <c r="A421" s="68" t="s">
        <v>378</v>
      </c>
      <c r="B421" s="22" t="s">
        <v>542</v>
      </c>
      <c r="C421" s="22" t="s">
        <v>591</v>
      </c>
      <c r="D421" s="22" t="s">
        <v>62</v>
      </c>
      <c r="E421" s="22" t="s">
        <v>175</v>
      </c>
      <c r="F421" s="31">
        <f>F422</f>
        <v>78000</v>
      </c>
      <c r="G421" s="31">
        <f>G422</f>
        <v>77859.680999999997</v>
      </c>
      <c r="H421" s="31">
        <f t="shared" si="24"/>
        <v>99.820103846153842</v>
      </c>
    </row>
    <row r="422" spans="1:8" s="40" customFormat="1" x14ac:dyDescent="0.2">
      <c r="A422" s="68" t="s">
        <v>176</v>
      </c>
      <c r="B422" s="22" t="s">
        <v>542</v>
      </c>
      <c r="C422" s="22" t="s">
        <v>591</v>
      </c>
      <c r="D422" s="22" t="s">
        <v>62</v>
      </c>
      <c r="E422" s="22" t="s">
        <v>177</v>
      </c>
      <c r="F422" s="31">
        <f>70000+10000-2000</f>
        <v>78000</v>
      </c>
      <c r="G422" s="31">
        <v>77859.680999999997</v>
      </c>
      <c r="H422" s="31">
        <f t="shared" si="24"/>
        <v>99.820103846153842</v>
      </c>
    </row>
    <row r="423" spans="1:8" s="40" customFormat="1" ht="36" x14ac:dyDescent="0.2">
      <c r="A423" s="51" t="s">
        <v>456</v>
      </c>
      <c r="B423" s="17" t="s">
        <v>542</v>
      </c>
      <c r="C423" s="17" t="s">
        <v>591</v>
      </c>
      <c r="D423" s="17" t="s">
        <v>63</v>
      </c>
      <c r="E423" s="17"/>
      <c r="F423" s="100">
        <f>F424</f>
        <v>34000</v>
      </c>
      <c r="G423" s="100">
        <f>G424</f>
        <v>33999.96</v>
      </c>
      <c r="H423" s="35">
        <f t="shared" si="24"/>
        <v>99.999882352941171</v>
      </c>
    </row>
    <row r="424" spans="1:8" s="40" customFormat="1" x14ac:dyDescent="0.2">
      <c r="A424" s="68" t="s">
        <v>178</v>
      </c>
      <c r="B424" s="22" t="s">
        <v>542</v>
      </c>
      <c r="C424" s="22" t="s">
        <v>591</v>
      </c>
      <c r="D424" s="22" t="s">
        <v>63</v>
      </c>
      <c r="E424" s="22" t="s">
        <v>179</v>
      </c>
      <c r="F424" s="96">
        <f>F425</f>
        <v>34000</v>
      </c>
      <c r="G424" s="96">
        <f>G425</f>
        <v>33999.96</v>
      </c>
      <c r="H424" s="31">
        <f t="shared" si="24"/>
        <v>99.999882352941171</v>
      </c>
    </row>
    <row r="425" spans="1:8" s="40" customFormat="1" ht="24" x14ac:dyDescent="0.2">
      <c r="A425" s="68" t="s">
        <v>86</v>
      </c>
      <c r="B425" s="22" t="s">
        <v>542</v>
      </c>
      <c r="C425" s="22" t="s">
        <v>591</v>
      </c>
      <c r="D425" s="22" t="s">
        <v>63</v>
      </c>
      <c r="E425" s="22" t="s">
        <v>540</v>
      </c>
      <c r="F425" s="96">
        <v>34000</v>
      </c>
      <c r="G425" s="96">
        <v>33999.96</v>
      </c>
      <c r="H425" s="31">
        <f t="shared" si="24"/>
        <v>99.999882352941171</v>
      </c>
    </row>
    <row r="426" spans="1:8" s="40" customFormat="1" ht="27" x14ac:dyDescent="0.2">
      <c r="A426" s="70" t="s">
        <v>439</v>
      </c>
      <c r="B426" s="43" t="s">
        <v>542</v>
      </c>
      <c r="C426" s="43" t="s">
        <v>591</v>
      </c>
      <c r="D426" s="43" t="s">
        <v>353</v>
      </c>
      <c r="E426" s="43"/>
      <c r="F426" s="47">
        <f>F427+F430+F433+F436</f>
        <v>68900</v>
      </c>
      <c r="G426" s="47">
        <f>G427+G430+G433+G436</f>
        <v>63680.983999999997</v>
      </c>
      <c r="H426" s="47">
        <f t="shared" si="24"/>
        <v>92.425230769230765</v>
      </c>
    </row>
    <row r="427" spans="1:8" s="40" customFormat="1" x14ac:dyDescent="0.2">
      <c r="A427" s="61" t="s">
        <v>2</v>
      </c>
      <c r="B427" s="16" t="s">
        <v>542</v>
      </c>
      <c r="C427" s="16" t="s">
        <v>591</v>
      </c>
      <c r="D427" s="16" t="s">
        <v>3</v>
      </c>
      <c r="E427" s="16"/>
      <c r="F427" s="32">
        <f>F428</f>
        <v>11397</v>
      </c>
      <c r="G427" s="32">
        <f>G428</f>
        <v>11186.454</v>
      </c>
      <c r="H427" s="32">
        <f t="shared" si="24"/>
        <v>98.152619110292179</v>
      </c>
    </row>
    <row r="428" spans="1:8" s="40" customFormat="1" x14ac:dyDescent="0.2">
      <c r="A428" s="68" t="s">
        <v>268</v>
      </c>
      <c r="B428" s="22" t="s">
        <v>542</v>
      </c>
      <c r="C428" s="22" t="s">
        <v>591</v>
      </c>
      <c r="D428" s="22" t="s">
        <v>3</v>
      </c>
      <c r="E428" s="22" t="s">
        <v>175</v>
      </c>
      <c r="F428" s="31">
        <f>F429</f>
        <v>11397</v>
      </c>
      <c r="G428" s="31">
        <f>G429</f>
        <v>11186.454</v>
      </c>
      <c r="H428" s="31">
        <f t="shared" si="24"/>
        <v>98.152619110292179</v>
      </c>
    </row>
    <row r="429" spans="1:8" s="40" customFormat="1" x14ac:dyDescent="0.2">
      <c r="A429" s="68" t="s">
        <v>176</v>
      </c>
      <c r="B429" s="22" t="s">
        <v>542</v>
      </c>
      <c r="C429" s="22" t="s">
        <v>591</v>
      </c>
      <c r="D429" s="22" t="s">
        <v>3</v>
      </c>
      <c r="E429" s="22" t="s">
        <v>177</v>
      </c>
      <c r="F429" s="31">
        <f>11400-3</f>
        <v>11397</v>
      </c>
      <c r="G429" s="31">
        <v>11186.454</v>
      </c>
      <c r="H429" s="31">
        <f t="shared" si="24"/>
        <v>98.152619110292179</v>
      </c>
    </row>
    <row r="430" spans="1:8" s="40" customFormat="1" x14ac:dyDescent="0.2">
      <c r="A430" s="64" t="s">
        <v>4</v>
      </c>
      <c r="B430" s="16" t="s">
        <v>542</v>
      </c>
      <c r="C430" s="16" t="s">
        <v>591</v>
      </c>
      <c r="D430" s="16" t="s">
        <v>5</v>
      </c>
      <c r="E430" s="16"/>
      <c r="F430" s="32">
        <f>F431</f>
        <v>7400</v>
      </c>
      <c r="G430" s="32">
        <f>G431</f>
        <v>7391.6850000000004</v>
      </c>
      <c r="H430" s="32">
        <f t="shared" si="24"/>
        <v>99.887635135135142</v>
      </c>
    </row>
    <row r="431" spans="1:8" s="40" customFormat="1" x14ac:dyDescent="0.2">
      <c r="A431" s="68" t="s">
        <v>268</v>
      </c>
      <c r="B431" s="22" t="s">
        <v>542</v>
      </c>
      <c r="C431" s="22" t="s">
        <v>591</v>
      </c>
      <c r="D431" s="22" t="s">
        <v>5</v>
      </c>
      <c r="E431" s="22" t="s">
        <v>175</v>
      </c>
      <c r="F431" s="31">
        <f>F432</f>
        <v>7400</v>
      </c>
      <c r="G431" s="31">
        <f>G432</f>
        <v>7391.6850000000004</v>
      </c>
      <c r="H431" s="31">
        <f t="shared" si="24"/>
        <v>99.887635135135142</v>
      </c>
    </row>
    <row r="432" spans="1:8" s="40" customFormat="1" x14ac:dyDescent="0.2">
      <c r="A432" s="68" t="s">
        <v>176</v>
      </c>
      <c r="B432" s="22" t="s">
        <v>542</v>
      </c>
      <c r="C432" s="22" t="s">
        <v>591</v>
      </c>
      <c r="D432" s="22" t="s">
        <v>5</v>
      </c>
      <c r="E432" s="22" t="s">
        <v>177</v>
      </c>
      <c r="F432" s="31">
        <f>3000+4400</f>
        <v>7400</v>
      </c>
      <c r="G432" s="31">
        <v>7391.6850000000004</v>
      </c>
      <c r="H432" s="31">
        <f t="shared" si="24"/>
        <v>99.887635135135142</v>
      </c>
    </row>
    <row r="433" spans="1:8" s="40" customFormat="1" x14ac:dyDescent="0.2">
      <c r="A433" s="61" t="s">
        <v>217</v>
      </c>
      <c r="B433" s="16" t="s">
        <v>542</v>
      </c>
      <c r="C433" s="16" t="s">
        <v>591</v>
      </c>
      <c r="D433" s="16" t="s">
        <v>617</v>
      </c>
      <c r="E433" s="16"/>
      <c r="F433" s="95">
        <f>F434</f>
        <v>103</v>
      </c>
      <c r="G433" s="95">
        <f>G434</f>
        <v>102.887</v>
      </c>
      <c r="H433" s="32">
        <f t="shared" si="24"/>
        <v>99.890291262135918</v>
      </c>
    </row>
    <row r="434" spans="1:8" s="40" customFormat="1" x14ac:dyDescent="0.2">
      <c r="A434" s="68" t="s">
        <v>378</v>
      </c>
      <c r="B434" s="22" t="s">
        <v>542</v>
      </c>
      <c r="C434" s="22" t="s">
        <v>591</v>
      </c>
      <c r="D434" s="22" t="s">
        <v>617</v>
      </c>
      <c r="E434" s="22" t="s">
        <v>175</v>
      </c>
      <c r="F434" s="96">
        <f>F435</f>
        <v>103</v>
      </c>
      <c r="G434" s="96">
        <f>G435</f>
        <v>102.887</v>
      </c>
      <c r="H434" s="31">
        <f t="shared" si="24"/>
        <v>99.890291262135918</v>
      </c>
    </row>
    <row r="435" spans="1:8" s="40" customFormat="1" x14ac:dyDescent="0.2">
      <c r="A435" s="68" t="s">
        <v>176</v>
      </c>
      <c r="B435" s="22" t="s">
        <v>542</v>
      </c>
      <c r="C435" s="22" t="s">
        <v>591</v>
      </c>
      <c r="D435" s="22" t="s">
        <v>617</v>
      </c>
      <c r="E435" s="22" t="s">
        <v>177</v>
      </c>
      <c r="F435" s="96">
        <f>100+3</f>
        <v>103</v>
      </c>
      <c r="G435" s="96">
        <v>102.887</v>
      </c>
      <c r="H435" s="31">
        <f t="shared" ref="H435:H495" si="25">G435/F435*100</f>
        <v>99.890291262135918</v>
      </c>
    </row>
    <row r="436" spans="1:8" s="40" customFormat="1" x14ac:dyDescent="0.2">
      <c r="A436" s="121" t="s">
        <v>627</v>
      </c>
      <c r="B436" s="122" t="s">
        <v>542</v>
      </c>
      <c r="C436" s="122" t="s">
        <v>591</v>
      </c>
      <c r="D436" s="122" t="s">
        <v>626</v>
      </c>
      <c r="E436" s="122"/>
      <c r="F436" s="123">
        <f>F437</f>
        <v>50000</v>
      </c>
      <c r="G436" s="123">
        <f>G437</f>
        <v>44999.957999999999</v>
      </c>
      <c r="H436" s="32">
        <f t="shared" si="25"/>
        <v>89.999915999999999</v>
      </c>
    </row>
    <row r="437" spans="1:8" s="40" customFormat="1" x14ac:dyDescent="0.2">
      <c r="A437" s="124" t="s">
        <v>378</v>
      </c>
      <c r="B437" s="125" t="s">
        <v>542</v>
      </c>
      <c r="C437" s="125" t="s">
        <v>591</v>
      </c>
      <c r="D437" s="125" t="s">
        <v>626</v>
      </c>
      <c r="E437" s="125" t="s">
        <v>175</v>
      </c>
      <c r="F437" s="126">
        <f>F438</f>
        <v>50000</v>
      </c>
      <c r="G437" s="126">
        <f>G438</f>
        <v>44999.957999999999</v>
      </c>
      <c r="H437" s="31">
        <f t="shared" si="25"/>
        <v>89.999915999999999</v>
      </c>
    </row>
    <row r="438" spans="1:8" s="40" customFormat="1" x14ac:dyDescent="0.2">
      <c r="A438" s="124" t="s">
        <v>176</v>
      </c>
      <c r="B438" s="125" t="s">
        <v>542</v>
      </c>
      <c r="C438" s="125" t="s">
        <v>591</v>
      </c>
      <c r="D438" s="125" t="s">
        <v>626</v>
      </c>
      <c r="E438" s="125" t="s">
        <v>177</v>
      </c>
      <c r="F438" s="126">
        <v>50000</v>
      </c>
      <c r="G438" s="126">
        <v>44999.957999999999</v>
      </c>
      <c r="H438" s="31">
        <f t="shared" si="25"/>
        <v>89.999915999999999</v>
      </c>
    </row>
    <row r="439" spans="1:8" s="40" customFormat="1" ht="27" x14ac:dyDescent="0.2">
      <c r="A439" s="70" t="s">
        <v>11</v>
      </c>
      <c r="B439" s="43" t="s">
        <v>542</v>
      </c>
      <c r="C439" s="43" t="s">
        <v>591</v>
      </c>
      <c r="D439" s="77" t="s">
        <v>12</v>
      </c>
      <c r="E439" s="43"/>
      <c r="F439" s="99">
        <f>F440+F443</f>
        <v>170633.54</v>
      </c>
      <c r="G439" s="99">
        <f>G440+G443</f>
        <v>170633.54</v>
      </c>
      <c r="H439" s="47">
        <f t="shared" si="25"/>
        <v>100</v>
      </c>
    </row>
    <row r="440" spans="1:8" s="40" customFormat="1" x14ac:dyDescent="0.2">
      <c r="A440" s="64" t="s">
        <v>259</v>
      </c>
      <c r="B440" s="16" t="s">
        <v>542</v>
      </c>
      <c r="C440" s="16" t="s">
        <v>591</v>
      </c>
      <c r="D440" s="33" t="s">
        <v>238</v>
      </c>
      <c r="E440" s="16"/>
      <c r="F440" s="95">
        <f>F441</f>
        <v>159511.54</v>
      </c>
      <c r="G440" s="95">
        <f>G441</f>
        <v>159511.54</v>
      </c>
      <c r="H440" s="32">
        <f t="shared" si="25"/>
        <v>100</v>
      </c>
    </row>
    <row r="441" spans="1:8" s="40" customFormat="1" x14ac:dyDescent="0.2">
      <c r="A441" s="68" t="s">
        <v>378</v>
      </c>
      <c r="B441" s="22" t="s">
        <v>542</v>
      </c>
      <c r="C441" s="22" t="s">
        <v>591</v>
      </c>
      <c r="D441" s="30" t="s">
        <v>238</v>
      </c>
      <c r="E441" s="22" t="s">
        <v>175</v>
      </c>
      <c r="F441" s="96">
        <f>F442</f>
        <v>159511.54</v>
      </c>
      <c r="G441" s="96">
        <f>G442</f>
        <v>159511.54</v>
      </c>
      <c r="H441" s="31">
        <f t="shared" si="25"/>
        <v>100</v>
      </c>
    </row>
    <row r="442" spans="1:8" s="40" customFormat="1" x14ac:dyDescent="0.2">
      <c r="A442" s="68" t="s">
        <v>176</v>
      </c>
      <c r="B442" s="22" t="s">
        <v>542</v>
      </c>
      <c r="C442" s="22" t="s">
        <v>591</v>
      </c>
      <c r="D442" s="30" t="s">
        <v>238</v>
      </c>
      <c r="E442" s="22" t="s">
        <v>177</v>
      </c>
      <c r="F442" s="96">
        <f>158816+695.54</f>
        <v>159511.54</v>
      </c>
      <c r="G442" s="96">
        <v>159511.54</v>
      </c>
      <c r="H442" s="31">
        <f t="shared" si="25"/>
        <v>100</v>
      </c>
    </row>
    <row r="443" spans="1:8" s="40" customFormat="1" x14ac:dyDescent="0.2">
      <c r="A443" s="64" t="s">
        <v>122</v>
      </c>
      <c r="B443" s="16" t="s">
        <v>542</v>
      </c>
      <c r="C443" s="16" t="s">
        <v>591</v>
      </c>
      <c r="D443" s="33" t="s">
        <v>70</v>
      </c>
      <c r="E443" s="16"/>
      <c r="F443" s="95">
        <f>F444</f>
        <v>11122</v>
      </c>
      <c r="G443" s="95">
        <f>G444</f>
        <v>11122</v>
      </c>
      <c r="H443" s="32">
        <f t="shared" si="25"/>
        <v>100</v>
      </c>
    </row>
    <row r="444" spans="1:8" s="40" customFormat="1" x14ac:dyDescent="0.2">
      <c r="A444" s="68" t="s">
        <v>378</v>
      </c>
      <c r="B444" s="22" t="s">
        <v>542</v>
      </c>
      <c r="C444" s="22" t="s">
        <v>591</v>
      </c>
      <c r="D444" s="30" t="s">
        <v>70</v>
      </c>
      <c r="E444" s="22" t="s">
        <v>175</v>
      </c>
      <c r="F444" s="96">
        <f>F445</f>
        <v>11122</v>
      </c>
      <c r="G444" s="96">
        <f>G445</f>
        <v>11122</v>
      </c>
      <c r="H444" s="31">
        <f t="shared" si="25"/>
        <v>100</v>
      </c>
    </row>
    <row r="445" spans="1:8" s="40" customFormat="1" x14ac:dyDescent="0.2">
      <c r="A445" s="68" t="s">
        <v>176</v>
      </c>
      <c r="B445" s="22" t="s">
        <v>542</v>
      </c>
      <c r="C445" s="22" t="s">
        <v>591</v>
      </c>
      <c r="D445" s="30" t="s">
        <v>70</v>
      </c>
      <c r="E445" s="22" t="s">
        <v>177</v>
      </c>
      <c r="F445" s="96">
        <f>7000+4122</f>
        <v>11122</v>
      </c>
      <c r="G445" s="96">
        <v>11122</v>
      </c>
      <c r="H445" s="31">
        <f t="shared" si="25"/>
        <v>100</v>
      </c>
    </row>
    <row r="446" spans="1:8" s="40" customFormat="1" x14ac:dyDescent="0.2">
      <c r="A446" s="64" t="s">
        <v>492</v>
      </c>
      <c r="B446" s="16" t="s">
        <v>542</v>
      </c>
      <c r="C446" s="16" t="s">
        <v>542</v>
      </c>
      <c r="D446" s="16"/>
      <c r="E446" s="16"/>
      <c r="F446" s="32">
        <f>F447+F458+F478</f>
        <v>34111.063000000002</v>
      </c>
      <c r="G446" s="32">
        <f>G447+G458+G478</f>
        <v>33485.375</v>
      </c>
      <c r="H446" s="32">
        <f t="shared" si="25"/>
        <v>98.165732917792681</v>
      </c>
    </row>
    <row r="447" spans="1:8" s="40" customFormat="1" ht="13.5" x14ac:dyDescent="0.2">
      <c r="A447" s="70" t="s">
        <v>348</v>
      </c>
      <c r="B447" s="43" t="s">
        <v>542</v>
      </c>
      <c r="C447" s="43" t="s">
        <v>542</v>
      </c>
      <c r="D447" s="43" t="s">
        <v>335</v>
      </c>
      <c r="E447" s="43"/>
      <c r="F447" s="47">
        <f>F448</f>
        <v>6546</v>
      </c>
      <c r="G447" s="47">
        <f>G448</f>
        <v>6277.79</v>
      </c>
      <c r="H447" s="35">
        <f t="shared" si="25"/>
        <v>95.902688664833491</v>
      </c>
    </row>
    <row r="448" spans="1:8" s="40" customFormat="1" x14ac:dyDescent="0.2">
      <c r="A448" s="66" t="s">
        <v>432</v>
      </c>
      <c r="B448" s="16" t="s">
        <v>542</v>
      </c>
      <c r="C448" s="16" t="s">
        <v>542</v>
      </c>
      <c r="D448" s="16" t="s">
        <v>335</v>
      </c>
      <c r="E448" s="16"/>
      <c r="F448" s="32">
        <f>F449</f>
        <v>6546</v>
      </c>
      <c r="G448" s="32">
        <f>G449</f>
        <v>6277.79</v>
      </c>
      <c r="H448" s="32">
        <f t="shared" si="25"/>
        <v>95.902688664833491</v>
      </c>
    </row>
    <row r="449" spans="1:8" s="40" customFormat="1" ht="24" x14ac:dyDescent="0.2">
      <c r="A449" s="67" t="s">
        <v>524</v>
      </c>
      <c r="B449" s="17" t="s">
        <v>542</v>
      </c>
      <c r="C449" s="17" t="s">
        <v>542</v>
      </c>
      <c r="D449" s="17" t="s">
        <v>335</v>
      </c>
      <c r="E449" s="17"/>
      <c r="F449" s="35">
        <f>F450+F453</f>
        <v>6546</v>
      </c>
      <c r="G449" s="35">
        <f>G450+G453</f>
        <v>6277.79</v>
      </c>
      <c r="H449" s="35">
        <f t="shared" si="25"/>
        <v>95.902688664833491</v>
      </c>
    </row>
    <row r="450" spans="1:8" s="40" customFormat="1" x14ac:dyDescent="0.2">
      <c r="A450" s="66" t="s">
        <v>505</v>
      </c>
      <c r="B450" s="16" t="s">
        <v>542</v>
      </c>
      <c r="C450" s="16" t="s">
        <v>542</v>
      </c>
      <c r="D450" s="16" t="s">
        <v>433</v>
      </c>
      <c r="E450" s="16"/>
      <c r="F450" s="32">
        <f>F451</f>
        <v>6153</v>
      </c>
      <c r="G450" s="32">
        <f>G451</f>
        <v>6095.317</v>
      </c>
      <c r="H450" s="32">
        <f t="shared" si="25"/>
        <v>99.062522346822689</v>
      </c>
    </row>
    <row r="451" spans="1:8" s="40" customFormat="1" ht="24" x14ac:dyDescent="0.2">
      <c r="A451" s="68" t="s">
        <v>168</v>
      </c>
      <c r="B451" s="22" t="s">
        <v>542</v>
      </c>
      <c r="C451" s="22" t="s">
        <v>542</v>
      </c>
      <c r="D451" s="22" t="s">
        <v>433</v>
      </c>
      <c r="E451" s="22" t="s">
        <v>169</v>
      </c>
      <c r="F451" s="31">
        <f>F452</f>
        <v>6153</v>
      </c>
      <c r="G451" s="31">
        <f>G452</f>
        <v>6095.317</v>
      </c>
      <c r="H451" s="31">
        <f t="shared" si="25"/>
        <v>99.062522346822689</v>
      </c>
    </row>
    <row r="452" spans="1:8" s="40" customFormat="1" x14ac:dyDescent="0.2">
      <c r="A452" s="68" t="s">
        <v>170</v>
      </c>
      <c r="B452" s="22" t="s">
        <v>542</v>
      </c>
      <c r="C452" s="22" t="s">
        <v>542</v>
      </c>
      <c r="D452" s="22" t="s">
        <v>433</v>
      </c>
      <c r="E452" s="22" t="s">
        <v>173</v>
      </c>
      <c r="F452" s="31">
        <f>4726+1427</f>
        <v>6153</v>
      </c>
      <c r="G452" s="31">
        <v>6095.317</v>
      </c>
      <c r="H452" s="31">
        <f t="shared" si="25"/>
        <v>99.062522346822689</v>
      </c>
    </row>
    <row r="453" spans="1:8" s="40" customFormat="1" x14ac:dyDescent="0.2">
      <c r="A453" s="64" t="s">
        <v>174</v>
      </c>
      <c r="B453" s="16" t="s">
        <v>542</v>
      </c>
      <c r="C453" s="16" t="s">
        <v>542</v>
      </c>
      <c r="D453" s="16" t="s">
        <v>434</v>
      </c>
      <c r="E453" s="16"/>
      <c r="F453" s="32">
        <f>F454+F456</f>
        <v>393</v>
      </c>
      <c r="G453" s="32">
        <f>G454+G456</f>
        <v>182.47300000000001</v>
      </c>
      <c r="H453" s="32">
        <f t="shared" si="25"/>
        <v>46.430788804071248</v>
      </c>
    </row>
    <row r="454" spans="1:8" s="40" customFormat="1" x14ac:dyDescent="0.2">
      <c r="A454" s="68" t="s">
        <v>378</v>
      </c>
      <c r="B454" s="22" t="s">
        <v>542</v>
      </c>
      <c r="C454" s="22" t="s">
        <v>542</v>
      </c>
      <c r="D454" s="22" t="s">
        <v>434</v>
      </c>
      <c r="E454" s="22" t="s">
        <v>175</v>
      </c>
      <c r="F454" s="31">
        <f>F455</f>
        <v>390</v>
      </c>
      <c r="G454" s="31">
        <f>G455</f>
        <v>181.89400000000001</v>
      </c>
      <c r="H454" s="31">
        <f t="shared" si="25"/>
        <v>46.639487179487183</v>
      </c>
    </row>
    <row r="455" spans="1:8" s="40" customFormat="1" x14ac:dyDescent="0.2">
      <c r="A455" s="68" t="s">
        <v>176</v>
      </c>
      <c r="B455" s="22" t="s">
        <v>542</v>
      </c>
      <c r="C455" s="22" t="s">
        <v>542</v>
      </c>
      <c r="D455" s="22" t="s">
        <v>434</v>
      </c>
      <c r="E455" s="22" t="s">
        <v>177</v>
      </c>
      <c r="F455" s="31">
        <f>190+200</f>
        <v>390</v>
      </c>
      <c r="G455" s="31">
        <v>181.89400000000001</v>
      </c>
      <c r="H455" s="31">
        <f t="shared" si="25"/>
        <v>46.639487179487183</v>
      </c>
    </row>
    <row r="456" spans="1:8" s="40" customFormat="1" x14ac:dyDescent="0.2">
      <c r="A456" s="68" t="s">
        <v>178</v>
      </c>
      <c r="B456" s="22" t="s">
        <v>542</v>
      </c>
      <c r="C456" s="22" t="s">
        <v>542</v>
      </c>
      <c r="D456" s="22" t="s">
        <v>434</v>
      </c>
      <c r="E456" s="22" t="s">
        <v>179</v>
      </c>
      <c r="F456" s="31">
        <f>F457</f>
        <v>3</v>
      </c>
      <c r="G456" s="31">
        <f>G457</f>
        <v>0.57899999999999996</v>
      </c>
      <c r="H456" s="31">
        <f t="shared" si="25"/>
        <v>19.299999999999997</v>
      </c>
    </row>
    <row r="457" spans="1:8" s="40" customFormat="1" x14ac:dyDescent="0.2">
      <c r="A457" s="68" t="s">
        <v>87</v>
      </c>
      <c r="B457" s="22" t="s">
        <v>542</v>
      </c>
      <c r="C457" s="22" t="s">
        <v>542</v>
      </c>
      <c r="D457" s="22" t="s">
        <v>434</v>
      </c>
      <c r="E457" s="22" t="s">
        <v>180</v>
      </c>
      <c r="F457" s="31">
        <f>3</f>
        <v>3</v>
      </c>
      <c r="G457" s="31">
        <v>0.57899999999999996</v>
      </c>
      <c r="H457" s="31">
        <f t="shared" si="25"/>
        <v>19.299999999999997</v>
      </c>
    </row>
    <row r="458" spans="1:8" s="40" customFormat="1" ht="27" x14ac:dyDescent="0.2">
      <c r="A458" s="70" t="s">
        <v>49</v>
      </c>
      <c r="B458" s="43" t="s">
        <v>542</v>
      </c>
      <c r="C458" s="43" t="s">
        <v>542</v>
      </c>
      <c r="D458" s="43" t="s">
        <v>320</v>
      </c>
      <c r="E458" s="43"/>
      <c r="F458" s="47">
        <f>F459+F470</f>
        <v>21019</v>
      </c>
      <c r="G458" s="47">
        <f>G459+G470</f>
        <v>20760.245999999999</v>
      </c>
      <c r="H458" s="47">
        <f t="shared" si="25"/>
        <v>98.768951900661307</v>
      </c>
    </row>
    <row r="459" spans="1:8" s="40" customFormat="1" x14ac:dyDescent="0.2">
      <c r="A459" s="64" t="s">
        <v>560</v>
      </c>
      <c r="B459" s="16" t="s">
        <v>542</v>
      </c>
      <c r="C459" s="16" t="s">
        <v>542</v>
      </c>
      <c r="D459" s="16" t="s">
        <v>212</v>
      </c>
      <c r="E459" s="22"/>
      <c r="F459" s="32">
        <f>F460</f>
        <v>14708</v>
      </c>
      <c r="G459" s="32">
        <f>G460</f>
        <v>14460.620999999999</v>
      </c>
      <c r="H459" s="32">
        <f t="shared" si="25"/>
        <v>98.318064998640182</v>
      </c>
    </row>
    <row r="460" spans="1:8" s="40" customFormat="1" ht="24" x14ac:dyDescent="0.2">
      <c r="A460" s="64" t="s">
        <v>329</v>
      </c>
      <c r="B460" s="16" t="s">
        <v>542</v>
      </c>
      <c r="C460" s="16" t="s">
        <v>542</v>
      </c>
      <c r="D460" s="16" t="s">
        <v>212</v>
      </c>
      <c r="E460" s="22"/>
      <c r="F460" s="32">
        <f>F461</f>
        <v>14708</v>
      </c>
      <c r="G460" s="32">
        <f>G461</f>
        <v>14460.620999999999</v>
      </c>
      <c r="H460" s="32">
        <f t="shared" si="25"/>
        <v>98.318064998640182</v>
      </c>
    </row>
    <row r="461" spans="1:8" s="40" customFormat="1" ht="24" x14ac:dyDescent="0.2">
      <c r="A461" s="67" t="s">
        <v>524</v>
      </c>
      <c r="B461" s="17" t="s">
        <v>542</v>
      </c>
      <c r="C461" s="17" t="s">
        <v>542</v>
      </c>
      <c r="D461" s="17" t="s">
        <v>212</v>
      </c>
      <c r="E461" s="17"/>
      <c r="F461" s="35">
        <f>F462+F465</f>
        <v>14708</v>
      </c>
      <c r="G461" s="35">
        <f>G462+G465</f>
        <v>14460.620999999999</v>
      </c>
      <c r="H461" s="35">
        <f t="shared" si="25"/>
        <v>98.318064998640182</v>
      </c>
    </row>
    <row r="462" spans="1:8" s="40" customFormat="1" x14ac:dyDescent="0.2">
      <c r="A462" s="66" t="s">
        <v>505</v>
      </c>
      <c r="B462" s="16" t="s">
        <v>542</v>
      </c>
      <c r="C462" s="16" t="s">
        <v>542</v>
      </c>
      <c r="D462" s="16" t="s">
        <v>64</v>
      </c>
      <c r="E462" s="16"/>
      <c r="F462" s="32">
        <f>F463</f>
        <v>13166</v>
      </c>
      <c r="G462" s="32">
        <f>G463</f>
        <v>13163.657999999999</v>
      </c>
      <c r="H462" s="32">
        <f t="shared" si="25"/>
        <v>99.982211757557337</v>
      </c>
    </row>
    <row r="463" spans="1:8" s="40" customFormat="1" ht="24" x14ac:dyDescent="0.2">
      <c r="A463" s="68" t="s">
        <v>168</v>
      </c>
      <c r="B463" s="22" t="s">
        <v>542</v>
      </c>
      <c r="C463" s="22" t="s">
        <v>542</v>
      </c>
      <c r="D463" s="22" t="s">
        <v>64</v>
      </c>
      <c r="E463" s="22" t="s">
        <v>169</v>
      </c>
      <c r="F463" s="31">
        <f>F464</f>
        <v>13166</v>
      </c>
      <c r="G463" s="31">
        <f>G464</f>
        <v>13163.657999999999</v>
      </c>
      <c r="H463" s="31">
        <f t="shared" si="25"/>
        <v>99.982211757557337</v>
      </c>
    </row>
    <row r="464" spans="1:8" s="40" customFormat="1" x14ac:dyDescent="0.2">
      <c r="A464" s="68" t="s">
        <v>170</v>
      </c>
      <c r="B464" s="22" t="s">
        <v>542</v>
      </c>
      <c r="C464" s="22" t="s">
        <v>542</v>
      </c>
      <c r="D464" s="22" t="s">
        <v>64</v>
      </c>
      <c r="E464" s="22" t="s">
        <v>173</v>
      </c>
      <c r="F464" s="31">
        <f>8600+2698+1565+250+53</f>
        <v>13166</v>
      </c>
      <c r="G464" s="31">
        <v>13163.657999999999</v>
      </c>
      <c r="H464" s="31">
        <f t="shared" si="25"/>
        <v>99.982211757557337</v>
      </c>
    </row>
    <row r="465" spans="1:8" s="40" customFormat="1" x14ac:dyDescent="0.2">
      <c r="A465" s="64" t="s">
        <v>174</v>
      </c>
      <c r="B465" s="16" t="s">
        <v>542</v>
      </c>
      <c r="C465" s="16" t="s">
        <v>542</v>
      </c>
      <c r="D465" s="16" t="s">
        <v>65</v>
      </c>
      <c r="E465" s="16"/>
      <c r="F465" s="32">
        <f>F466+F468</f>
        <v>1542</v>
      </c>
      <c r="G465" s="32">
        <f>G466+G468</f>
        <v>1296.963</v>
      </c>
      <c r="H465" s="32">
        <f t="shared" si="25"/>
        <v>84.109143968871592</v>
      </c>
    </row>
    <row r="466" spans="1:8" s="40" customFormat="1" x14ac:dyDescent="0.2">
      <c r="A466" s="68" t="s">
        <v>378</v>
      </c>
      <c r="B466" s="22" t="s">
        <v>542</v>
      </c>
      <c r="C466" s="22" t="s">
        <v>542</v>
      </c>
      <c r="D466" s="22" t="s">
        <v>65</v>
      </c>
      <c r="E466" s="22" t="s">
        <v>175</v>
      </c>
      <c r="F466" s="31">
        <f>F467</f>
        <v>1322</v>
      </c>
      <c r="G466" s="31">
        <f>G467</f>
        <v>1121.116</v>
      </c>
      <c r="H466" s="31">
        <f t="shared" si="25"/>
        <v>84.804538577912254</v>
      </c>
    </row>
    <row r="467" spans="1:8" s="40" customFormat="1" x14ac:dyDescent="0.2">
      <c r="A467" s="68" t="s">
        <v>176</v>
      </c>
      <c r="B467" s="22" t="s">
        <v>542</v>
      </c>
      <c r="C467" s="22" t="s">
        <v>542</v>
      </c>
      <c r="D467" s="22" t="s">
        <v>65</v>
      </c>
      <c r="E467" s="22" t="s">
        <v>177</v>
      </c>
      <c r="F467" s="31">
        <v>1322</v>
      </c>
      <c r="G467" s="31">
        <v>1121.116</v>
      </c>
      <c r="H467" s="31">
        <f t="shared" si="25"/>
        <v>84.804538577912254</v>
      </c>
    </row>
    <row r="468" spans="1:8" s="40" customFormat="1" x14ac:dyDescent="0.2">
      <c r="A468" s="68" t="s">
        <v>178</v>
      </c>
      <c r="B468" s="22" t="s">
        <v>542</v>
      </c>
      <c r="C468" s="22" t="s">
        <v>542</v>
      </c>
      <c r="D468" s="22" t="s">
        <v>65</v>
      </c>
      <c r="E468" s="22" t="s">
        <v>179</v>
      </c>
      <c r="F468" s="31">
        <f>F469</f>
        <v>220</v>
      </c>
      <c r="G468" s="31">
        <f>G469</f>
        <v>175.84700000000001</v>
      </c>
      <c r="H468" s="31">
        <f t="shared" si="25"/>
        <v>79.930454545454552</v>
      </c>
    </row>
    <row r="469" spans="1:8" s="40" customFormat="1" x14ac:dyDescent="0.2">
      <c r="A469" s="68" t="s">
        <v>87</v>
      </c>
      <c r="B469" s="22" t="s">
        <v>542</v>
      </c>
      <c r="C469" s="22" t="s">
        <v>542</v>
      </c>
      <c r="D469" s="22" t="s">
        <v>65</v>
      </c>
      <c r="E469" s="22" t="s">
        <v>180</v>
      </c>
      <c r="F469" s="31">
        <f>30+190</f>
        <v>220</v>
      </c>
      <c r="G469" s="31">
        <v>175.84700000000001</v>
      </c>
      <c r="H469" s="31">
        <f t="shared" si="25"/>
        <v>79.930454545454552</v>
      </c>
    </row>
    <row r="470" spans="1:8" s="40" customFormat="1" x14ac:dyDescent="0.2">
      <c r="A470" s="61" t="s">
        <v>150</v>
      </c>
      <c r="B470" s="16" t="s">
        <v>542</v>
      </c>
      <c r="C470" s="16" t="s">
        <v>542</v>
      </c>
      <c r="D470" s="33" t="s">
        <v>66</v>
      </c>
      <c r="E470" s="16"/>
      <c r="F470" s="32">
        <f>F471</f>
        <v>6311</v>
      </c>
      <c r="G470" s="32">
        <f>G471</f>
        <v>6299.625</v>
      </c>
      <c r="H470" s="32">
        <f t="shared" si="25"/>
        <v>99.819759150689265</v>
      </c>
    </row>
    <row r="471" spans="1:8" s="40" customFormat="1" x14ac:dyDescent="0.2">
      <c r="A471" s="69" t="s">
        <v>593</v>
      </c>
      <c r="B471" s="25" t="s">
        <v>542</v>
      </c>
      <c r="C471" s="25" t="s">
        <v>542</v>
      </c>
      <c r="D471" s="25" t="s">
        <v>66</v>
      </c>
      <c r="E471" s="25"/>
      <c r="F471" s="85">
        <f>F472+F474+F476</f>
        <v>6311</v>
      </c>
      <c r="G471" s="85">
        <f>G472+G474+G476</f>
        <v>6299.625</v>
      </c>
      <c r="H471" s="85">
        <f t="shared" si="25"/>
        <v>99.819759150689265</v>
      </c>
    </row>
    <row r="472" spans="1:8" s="40" customFormat="1" ht="24" x14ac:dyDescent="0.2">
      <c r="A472" s="68" t="s">
        <v>168</v>
      </c>
      <c r="B472" s="22" t="s">
        <v>542</v>
      </c>
      <c r="C472" s="22" t="s">
        <v>542</v>
      </c>
      <c r="D472" s="22" t="s">
        <v>66</v>
      </c>
      <c r="E472" s="22" t="s">
        <v>169</v>
      </c>
      <c r="F472" s="31">
        <f>F473</f>
        <v>4638</v>
      </c>
      <c r="G472" s="31">
        <f>G473</f>
        <v>4638</v>
      </c>
      <c r="H472" s="31">
        <f t="shared" si="25"/>
        <v>100</v>
      </c>
    </row>
    <row r="473" spans="1:8" s="40" customFormat="1" x14ac:dyDescent="0.2">
      <c r="A473" s="68" t="s">
        <v>594</v>
      </c>
      <c r="B473" s="22" t="s">
        <v>542</v>
      </c>
      <c r="C473" s="22" t="s">
        <v>542</v>
      </c>
      <c r="D473" s="22" t="s">
        <v>66</v>
      </c>
      <c r="E473" s="22" t="s">
        <v>595</v>
      </c>
      <c r="F473" s="31">
        <f>2500+750+1000+300+88</f>
        <v>4638</v>
      </c>
      <c r="G473" s="31">
        <v>4638</v>
      </c>
      <c r="H473" s="31">
        <f t="shared" si="25"/>
        <v>100</v>
      </c>
    </row>
    <row r="474" spans="1:8" s="40" customFormat="1" x14ac:dyDescent="0.2">
      <c r="A474" s="68" t="s">
        <v>378</v>
      </c>
      <c r="B474" s="22" t="s">
        <v>542</v>
      </c>
      <c r="C474" s="22" t="s">
        <v>542</v>
      </c>
      <c r="D474" s="22" t="s">
        <v>66</v>
      </c>
      <c r="E474" s="22" t="s">
        <v>175</v>
      </c>
      <c r="F474" s="31">
        <f>F475</f>
        <v>1149.79</v>
      </c>
      <c r="G474" s="31">
        <f>G475</f>
        <v>1138.8589999999999</v>
      </c>
      <c r="H474" s="31">
        <f t="shared" si="25"/>
        <v>99.049304655632767</v>
      </c>
    </row>
    <row r="475" spans="1:8" s="40" customFormat="1" x14ac:dyDescent="0.2">
      <c r="A475" s="68" t="s">
        <v>176</v>
      </c>
      <c r="B475" s="22" t="s">
        <v>542</v>
      </c>
      <c r="C475" s="22" t="s">
        <v>542</v>
      </c>
      <c r="D475" s="22" t="s">
        <v>66</v>
      </c>
      <c r="E475" s="22" t="s">
        <v>177</v>
      </c>
      <c r="F475" s="31">
        <f>1299+5.79-155</f>
        <v>1149.79</v>
      </c>
      <c r="G475" s="31">
        <v>1138.8589999999999</v>
      </c>
      <c r="H475" s="31">
        <f t="shared" si="25"/>
        <v>99.049304655632767</v>
      </c>
    </row>
    <row r="476" spans="1:8" s="40" customFormat="1" x14ac:dyDescent="0.2">
      <c r="A476" s="68" t="s">
        <v>178</v>
      </c>
      <c r="B476" s="22" t="s">
        <v>542</v>
      </c>
      <c r="C476" s="22" t="s">
        <v>542</v>
      </c>
      <c r="D476" s="22" t="s">
        <v>66</v>
      </c>
      <c r="E476" s="22" t="s">
        <v>179</v>
      </c>
      <c r="F476" s="31">
        <f>F477</f>
        <v>523.21</v>
      </c>
      <c r="G476" s="31">
        <f>G477</f>
        <v>522.76599999999996</v>
      </c>
      <c r="H476" s="31">
        <f t="shared" si="25"/>
        <v>99.915139236635369</v>
      </c>
    </row>
    <row r="477" spans="1:8" s="40" customFormat="1" x14ac:dyDescent="0.2">
      <c r="A477" s="68" t="s">
        <v>87</v>
      </c>
      <c r="B477" s="22" t="s">
        <v>542</v>
      </c>
      <c r="C477" s="22" t="s">
        <v>542</v>
      </c>
      <c r="D477" s="22" t="s">
        <v>66</v>
      </c>
      <c r="E477" s="22" t="s">
        <v>180</v>
      </c>
      <c r="F477" s="31">
        <f>412+9+110-5.79-2</f>
        <v>523.21</v>
      </c>
      <c r="G477" s="31">
        <v>522.76599999999996</v>
      </c>
      <c r="H477" s="31">
        <f t="shared" si="25"/>
        <v>99.915139236635369</v>
      </c>
    </row>
    <row r="478" spans="1:8" s="40" customFormat="1" x14ac:dyDescent="0.2">
      <c r="A478" s="65" t="s">
        <v>163</v>
      </c>
      <c r="B478" s="17" t="s">
        <v>542</v>
      </c>
      <c r="C478" s="17" t="s">
        <v>542</v>
      </c>
      <c r="D478" s="17" t="s">
        <v>293</v>
      </c>
      <c r="E478" s="17"/>
      <c r="F478" s="35">
        <f>F479</f>
        <v>6546.0630000000001</v>
      </c>
      <c r="G478" s="35">
        <f>G479</f>
        <v>6447.3390000000009</v>
      </c>
      <c r="H478" s="35">
        <f t="shared" si="25"/>
        <v>98.491856861139297</v>
      </c>
    </row>
    <row r="479" spans="1:8" s="40" customFormat="1" x14ac:dyDescent="0.2">
      <c r="A479" s="66" t="s">
        <v>381</v>
      </c>
      <c r="B479" s="16" t="s">
        <v>542</v>
      </c>
      <c r="C479" s="16" t="s">
        <v>542</v>
      </c>
      <c r="D479" s="16" t="s">
        <v>294</v>
      </c>
      <c r="E479" s="22"/>
      <c r="F479" s="32">
        <f>F480</f>
        <v>6546.0630000000001</v>
      </c>
      <c r="G479" s="32">
        <f>G480</f>
        <v>6447.3390000000009</v>
      </c>
      <c r="H479" s="32">
        <f t="shared" si="25"/>
        <v>98.491856861139297</v>
      </c>
    </row>
    <row r="480" spans="1:8" s="40" customFormat="1" ht="24" x14ac:dyDescent="0.2">
      <c r="A480" s="67" t="s">
        <v>524</v>
      </c>
      <c r="B480" s="16" t="s">
        <v>542</v>
      </c>
      <c r="C480" s="16" t="s">
        <v>542</v>
      </c>
      <c r="D480" s="16" t="s">
        <v>294</v>
      </c>
      <c r="E480" s="22"/>
      <c r="F480" s="32">
        <f>F481+F484+F489</f>
        <v>6546.0630000000001</v>
      </c>
      <c r="G480" s="32">
        <f>G481+G484+G489</f>
        <v>6447.3390000000009</v>
      </c>
      <c r="H480" s="32">
        <f t="shared" si="25"/>
        <v>98.491856861139297</v>
      </c>
    </row>
    <row r="481" spans="1:8" s="40" customFormat="1" x14ac:dyDescent="0.2">
      <c r="A481" s="66" t="s">
        <v>505</v>
      </c>
      <c r="B481" s="16" t="s">
        <v>542</v>
      </c>
      <c r="C481" s="16" t="s">
        <v>542</v>
      </c>
      <c r="D481" s="16" t="s">
        <v>295</v>
      </c>
      <c r="E481" s="16"/>
      <c r="F481" s="32">
        <f>F482</f>
        <v>5288</v>
      </c>
      <c r="G481" s="32">
        <f>G482</f>
        <v>5240.0780000000004</v>
      </c>
      <c r="H481" s="32">
        <f t="shared" si="25"/>
        <v>99.093759455370659</v>
      </c>
    </row>
    <row r="482" spans="1:8" s="40" customFormat="1" ht="24" x14ac:dyDescent="0.2">
      <c r="A482" s="68" t="s">
        <v>168</v>
      </c>
      <c r="B482" s="22" t="s">
        <v>542</v>
      </c>
      <c r="C482" s="22" t="s">
        <v>542</v>
      </c>
      <c r="D482" s="22" t="s">
        <v>295</v>
      </c>
      <c r="E482" s="22" t="s">
        <v>169</v>
      </c>
      <c r="F482" s="31">
        <f>F483</f>
        <v>5288</v>
      </c>
      <c r="G482" s="31">
        <f>G483</f>
        <v>5240.0780000000004</v>
      </c>
      <c r="H482" s="31">
        <f t="shared" si="25"/>
        <v>99.093759455370659</v>
      </c>
    </row>
    <row r="483" spans="1:8" s="40" customFormat="1" x14ac:dyDescent="0.2">
      <c r="A483" s="68" t="s">
        <v>170</v>
      </c>
      <c r="B483" s="22" t="s">
        <v>542</v>
      </c>
      <c r="C483" s="22" t="s">
        <v>542</v>
      </c>
      <c r="D483" s="22" t="s">
        <v>295</v>
      </c>
      <c r="E483" s="22" t="s">
        <v>173</v>
      </c>
      <c r="F483" s="31">
        <f>4100+50+1238-100</f>
        <v>5288</v>
      </c>
      <c r="G483" s="31">
        <v>5240.0780000000004</v>
      </c>
      <c r="H483" s="31">
        <f t="shared" si="25"/>
        <v>99.093759455370659</v>
      </c>
    </row>
    <row r="484" spans="1:8" s="40" customFormat="1" x14ac:dyDescent="0.2">
      <c r="A484" s="64" t="s">
        <v>174</v>
      </c>
      <c r="B484" s="16" t="s">
        <v>542</v>
      </c>
      <c r="C484" s="16" t="s">
        <v>542</v>
      </c>
      <c r="D484" s="16" t="s">
        <v>296</v>
      </c>
      <c r="E484" s="16"/>
      <c r="F484" s="32">
        <f>F485+F487</f>
        <v>750</v>
      </c>
      <c r="G484" s="32">
        <f>G485+G487</f>
        <v>699.19799999999998</v>
      </c>
      <c r="H484" s="32">
        <f t="shared" si="25"/>
        <v>93.226399999999998</v>
      </c>
    </row>
    <row r="485" spans="1:8" s="40" customFormat="1" x14ac:dyDescent="0.2">
      <c r="A485" s="68" t="s">
        <v>378</v>
      </c>
      <c r="B485" s="22" t="s">
        <v>542</v>
      </c>
      <c r="C485" s="22" t="s">
        <v>542</v>
      </c>
      <c r="D485" s="22" t="s">
        <v>296</v>
      </c>
      <c r="E485" s="22" t="s">
        <v>175</v>
      </c>
      <c r="F485" s="31">
        <f>F486</f>
        <v>735</v>
      </c>
      <c r="G485" s="31">
        <f>G486</f>
        <v>699.07600000000002</v>
      </c>
      <c r="H485" s="31">
        <f t="shared" si="25"/>
        <v>95.11238095238096</v>
      </c>
    </row>
    <row r="486" spans="1:8" s="40" customFormat="1" x14ac:dyDescent="0.2">
      <c r="A486" s="68" t="s">
        <v>176</v>
      </c>
      <c r="B486" s="22" t="s">
        <v>542</v>
      </c>
      <c r="C486" s="22" t="s">
        <v>542</v>
      </c>
      <c r="D486" s="22" t="s">
        <v>296</v>
      </c>
      <c r="E486" s="22" t="s">
        <v>177</v>
      </c>
      <c r="F486" s="31">
        <f>740-150+115+30</f>
        <v>735</v>
      </c>
      <c r="G486" s="31">
        <v>699.07600000000002</v>
      </c>
      <c r="H486" s="31">
        <f t="shared" si="25"/>
        <v>95.11238095238096</v>
      </c>
    </row>
    <row r="487" spans="1:8" s="40" customFormat="1" x14ac:dyDescent="0.2">
      <c r="A487" s="68" t="s">
        <v>178</v>
      </c>
      <c r="B487" s="22" t="s">
        <v>542</v>
      </c>
      <c r="C487" s="22" t="s">
        <v>542</v>
      </c>
      <c r="D487" s="22" t="s">
        <v>296</v>
      </c>
      <c r="E487" s="22" t="s">
        <v>179</v>
      </c>
      <c r="F487" s="31">
        <f>F488</f>
        <v>15</v>
      </c>
      <c r="G487" s="31">
        <f>G488</f>
        <v>0.122</v>
      </c>
      <c r="H487" s="31">
        <f t="shared" si="25"/>
        <v>0.81333333333333324</v>
      </c>
    </row>
    <row r="488" spans="1:8" s="40" customFormat="1" x14ac:dyDescent="0.2">
      <c r="A488" s="68" t="s">
        <v>87</v>
      </c>
      <c r="B488" s="22" t="s">
        <v>542</v>
      </c>
      <c r="C488" s="22" t="s">
        <v>542</v>
      </c>
      <c r="D488" s="22" t="s">
        <v>296</v>
      </c>
      <c r="E488" s="22" t="s">
        <v>180</v>
      </c>
      <c r="F488" s="31">
        <f>160-115-30</f>
        <v>15</v>
      </c>
      <c r="G488" s="31">
        <v>0.122</v>
      </c>
      <c r="H488" s="31">
        <f t="shared" si="25"/>
        <v>0.81333333333333324</v>
      </c>
    </row>
    <row r="489" spans="1:8" s="40" customFormat="1" ht="24" x14ac:dyDescent="0.2">
      <c r="A489" s="64" t="s">
        <v>632</v>
      </c>
      <c r="B489" s="16" t="s">
        <v>542</v>
      </c>
      <c r="C489" s="16" t="s">
        <v>542</v>
      </c>
      <c r="D489" s="16" t="s">
        <v>633</v>
      </c>
      <c r="E489" s="16"/>
      <c r="F489" s="32">
        <f>F490</f>
        <v>508.06299999999999</v>
      </c>
      <c r="G489" s="32">
        <f>G490</f>
        <v>508.06299999999999</v>
      </c>
      <c r="H489" s="32">
        <f t="shared" si="25"/>
        <v>100</v>
      </c>
    </row>
    <row r="490" spans="1:8" s="40" customFormat="1" ht="24" x14ac:dyDescent="0.2">
      <c r="A490" s="68" t="s">
        <v>168</v>
      </c>
      <c r="B490" s="22" t="s">
        <v>542</v>
      </c>
      <c r="C490" s="22" t="s">
        <v>542</v>
      </c>
      <c r="D490" s="22" t="s">
        <v>633</v>
      </c>
      <c r="E490" s="22" t="s">
        <v>169</v>
      </c>
      <c r="F490" s="31">
        <f>F491</f>
        <v>508.06299999999999</v>
      </c>
      <c r="G490" s="31">
        <f>G491</f>
        <v>508.06299999999999</v>
      </c>
      <c r="H490" s="31">
        <f t="shared" si="25"/>
        <v>100</v>
      </c>
    </row>
    <row r="491" spans="1:8" s="40" customFormat="1" x14ac:dyDescent="0.2">
      <c r="A491" s="68" t="s">
        <v>170</v>
      </c>
      <c r="B491" s="22" t="s">
        <v>542</v>
      </c>
      <c r="C491" s="22" t="s">
        <v>542</v>
      </c>
      <c r="D491" s="22" t="s">
        <v>633</v>
      </c>
      <c r="E491" s="22" t="s">
        <v>173</v>
      </c>
      <c r="F491" s="31">
        <f>116.692+273.808+117.563</f>
        <v>508.06299999999999</v>
      </c>
      <c r="G491" s="31">
        <v>508.06299999999999</v>
      </c>
      <c r="H491" s="31">
        <f t="shared" si="25"/>
        <v>100</v>
      </c>
    </row>
    <row r="492" spans="1:8" s="40" customFormat="1" x14ac:dyDescent="0.2">
      <c r="A492" s="64" t="s">
        <v>394</v>
      </c>
      <c r="B492" s="16" t="s">
        <v>379</v>
      </c>
      <c r="C492" s="16" t="s">
        <v>166</v>
      </c>
      <c r="D492" s="16"/>
      <c r="E492" s="16"/>
      <c r="F492" s="32">
        <f t="shared" ref="F492:G496" si="26">F493</f>
        <v>1800</v>
      </c>
      <c r="G492" s="32">
        <f t="shared" si="26"/>
        <v>1797.7339999999999</v>
      </c>
      <c r="H492" s="32">
        <f t="shared" si="25"/>
        <v>99.874111111111105</v>
      </c>
    </row>
    <row r="493" spans="1:8" s="40" customFormat="1" x14ac:dyDescent="0.2">
      <c r="A493" s="64" t="s">
        <v>395</v>
      </c>
      <c r="B493" s="16" t="s">
        <v>379</v>
      </c>
      <c r="C493" s="16" t="s">
        <v>591</v>
      </c>
      <c r="D493" s="16"/>
      <c r="E493" s="16"/>
      <c r="F493" s="32">
        <f t="shared" si="26"/>
        <v>1800</v>
      </c>
      <c r="G493" s="32">
        <f t="shared" si="26"/>
        <v>1797.7339999999999</v>
      </c>
      <c r="H493" s="32">
        <f t="shared" si="25"/>
        <v>99.874111111111105</v>
      </c>
    </row>
    <row r="494" spans="1:8" s="40" customFormat="1" ht="27" x14ac:dyDescent="0.2">
      <c r="A494" s="70" t="s">
        <v>439</v>
      </c>
      <c r="B494" s="43" t="s">
        <v>379</v>
      </c>
      <c r="C494" s="43" t="s">
        <v>591</v>
      </c>
      <c r="D494" s="43" t="s">
        <v>353</v>
      </c>
      <c r="E494" s="22"/>
      <c r="F494" s="47">
        <f t="shared" si="26"/>
        <v>1800</v>
      </c>
      <c r="G494" s="47">
        <f t="shared" si="26"/>
        <v>1797.7339999999999</v>
      </c>
      <c r="H494" s="47">
        <f t="shared" si="25"/>
        <v>99.874111111111105</v>
      </c>
    </row>
    <row r="495" spans="1:8" s="40" customFormat="1" x14ac:dyDescent="0.2">
      <c r="A495" s="61" t="s">
        <v>217</v>
      </c>
      <c r="B495" s="16" t="s">
        <v>379</v>
      </c>
      <c r="C495" s="16" t="s">
        <v>591</v>
      </c>
      <c r="D495" s="89" t="s">
        <v>617</v>
      </c>
      <c r="E495" s="16"/>
      <c r="F495" s="32">
        <f t="shared" si="26"/>
        <v>1800</v>
      </c>
      <c r="G495" s="32">
        <f t="shared" si="26"/>
        <v>1797.7339999999999</v>
      </c>
      <c r="H495" s="32">
        <f t="shared" si="25"/>
        <v>99.874111111111105</v>
      </c>
    </row>
    <row r="496" spans="1:8" s="40" customFormat="1" x14ac:dyDescent="0.2">
      <c r="A496" s="68" t="s">
        <v>305</v>
      </c>
      <c r="B496" s="22" t="s">
        <v>379</v>
      </c>
      <c r="C496" s="22" t="s">
        <v>591</v>
      </c>
      <c r="D496" s="22" t="s">
        <v>617</v>
      </c>
      <c r="E496" s="22" t="s">
        <v>544</v>
      </c>
      <c r="F496" s="31">
        <f t="shared" si="26"/>
        <v>1800</v>
      </c>
      <c r="G496" s="31">
        <f t="shared" si="26"/>
        <v>1797.7339999999999</v>
      </c>
      <c r="H496" s="31">
        <f t="shared" ref="H496:H559" si="27">G496/F496*100</f>
        <v>99.874111111111105</v>
      </c>
    </row>
    <row r="497" spans="1:8" s="40" customFormat="1" x14ac:dyDescent="0.2">
      <c r="A497" s="68" t="s">
        <v>545</v>
      </c>
      <c r="B497" s="22" t="s">
        <v>379</v>
      </c>
      <c r="C497" s="22" t="s">
        <v>591</v>
      </c>
      <c r="D497" s="22" t="s">
        <v>617</v>
      </c>
      <c r="E497" s="22" t="s">
        <v>546</v>
      </c>
      <c r="F497" s="31">
        <f>1300+500</f>
        <v>1800</v>
      </c>
      <c r="G497" s="31">
        <v>1797.7339999999999</v>
      </c>
      <c r="H497" s="31">
        <f t="shared" si="27"/>
        <v>99.874111111111105</v>
      </c>
    </row>
    <row r="498" spans="1:8" s="40" customFormat="1" x14ac:dyDescent="0.2">
      <c r="A498" s="64" t="s">
        <v>493</v>
      </c>
      <c r="B498" s="16" t="s">
        <v>598</v>
      </c>
      <c r="C498" s="16" t="s">
        <v>166</v>
      </c>
      <c r="D498" s="22"/>
      <c r="E498" s="22"/>
      <c r="F498" s="27">
        <f>F499+F517+F533+F559+F583</f>
        <v>2758964.0455999998</v>
      </c>
      <c r="G498" s="27">
        <f>G499+G517+G533+G559+G583</f>
        <v>2679918.6060000001</v>
      </c>
      <c r="H498" s="32">
        <f t="shared" si="27"/>
        <v>97.134959416159788</v>
      </c>
    </row>
    <row r="499" spans="1:8" s="40" customFormat="1" x14ac:dyDescent="0.2">
      <c r="A499" s="64" t="s">
        <v>494</v>
      </c>
      <c r="B499" s="16" t="s">
        <v>598</v>
      </c>
      <c r="C499" s="16" t="s">
        <v>165</v>
      </c>
      <c r="D499" s="16"/>
      <c r="E499" s="16"/>
      <c r="F499" s="32">
        <f>F500+F513</f>
        <v>1160567.8405999998</v>
      </c>
      <c r="G499" s="32">
        <f>G500+G513</f>
        <v>1139791.524</v>
      </c>
      <c r="H499" s="32">
        <f t="shared" si="27"/>
        <v>98.209814551706103</v>
      </c>
    </row>
    <row r="500" spans="1:8" s="40" customFormat="1" ht="27" x14ac:dyDescent="0.2">
      <c r="A500" s="70" t="s">
        <v>602</v>
      </c>
      <c r="B500" s="43" t="s">
        <v>598</v>
      </c>
      <c r="C500" s="43" t="s">
        <v>165</v>
      </c>
      <c r="D500" s="43" t="s">
        <v>240</v>
      </c>
      <c r="E500" s="43"/>
      <c r="F500" s="47">
        <f>F501</f>
        <v>1158342.7405999997</v>
      </c>
      <c r="G500" s="47">
        <f>G501</f>
        <v>1137566.4239999999</v>
      </c>
      <c r="H500" s="47">
        <f t="shared" si="27"/>
        <v>98.2063757235412</v>
      </c>
    </row>
    <row r="501" spans="1:8" s="40" customFormat="1" x14ac:dyDescent="0.2">
      <c r="A501" s="64" t="s">
        <v>354</v>
      </c>
      <c r="B501" s="16" t="s">
        <v>598</v>
      </c>
      <c r="C501" s="16" t="s">
        <v>165</v>
      </c>
      <c r="D501" s="16" t="s">
        <v>241</v>
      </c>
      <c r="E501" s="16"/>
      <c r="F501" s="32">
        <f>F502+F506+F510</f>
        <v>1158342.7405999997</v>
      </c>
      <c r="G501" s="32">
        <f>G502+G506+G510</f>
        <v>1137566.4239999999</v>
      </c>
      <c r="H501" s="31">
        <f t="shared" si="27"/>
        <v>98.2063757235412</v>
      </c>
    </row>
    <row r="502" spans="1:8" s="40" customFormat="1" ht="24" x14ac:dyDescent="0.2">
      <c r="A502" s="67" t="s">
        <v>355</v>
      </c>
      <c r="B502" s="17" t="s">
        <v>598</v>
      </c>
      <c r="C502" s="17" t="s">
        <v>165</v>
      </c>
      <c r="D502" s="17" t="s">
        <v>242</v>
      </c>
      <c r="E502" s="17"/>
      <c r="F502" s="35">
        <f>F503</f>
        <v>470027.64059999998</v>
      </c>
      <c r="G502" s="35">
        <f>G503</f>
        <v>449251.32499999995</v>
      </c>
      <c r="H502" s="35">
        <f t="shared" si="27"/>
        <v>95.579767272095182</v>
      </c>
    </row>
    <row r="503" spans="1:8" s="40" customFormat="1" x14ac:dyDescent="0.2">
      <c r="A503" s="68" t="s">
        <v>191</v>
      </c>
      <c r="B503" s="22" t="s">
        <v>598</v>
      </c>
      <c r="C503" s="22" t="s">
        <v>165</v>
      </c>
      <c r="D503" s="22" t="s">
        <v>603</v>
      </c>
      <c r="E503" s="22" t="s">
        <v>522</v>
      </c>
      <c r="F503" s="31">
        <f>F504+F505</f>
        <v>470027.64059999998</v>
      </c>
      <c r="G503" s="31">
        <f>G504+G505</f>
        <v>449251.32499999995</v>
      </c>
      <c r="H503" s="31">
        <f t="shared" si="27"/>
        <v>95.579767272095182</v>
      </c>
    </row>
    <row r="504" spans="1:8" s="40" customFormat="1" x14ac:dyDescent="0.2">
      <c r="A504" s="68" t="s">
        <v>192</v>
      </c>
      <c r="B504" s="22" t="s">
        <v>598</v>
      </c>
      <c r="C504" s="22" t="s">
        <v>165</v>
      </c>
      <c r="D504" s="22" t="s">
        <v>603</v>
      </c>
      <c r="E504" s="22" t="s">
        <v>536</v>
      </c>
      <c r="F504" s="31">
        <f>460668.5+10000-44882.2464-4122-2725.1-5648.5-1619.27513-919.70238+1256+15949.787-744.23129-401.0359</f>
        <v>426812.19589999999</v>
      </c>
      <c r="G504" s="31">
        <v>407354.50799999997</v>
      </c>
      <c r="H504" s="31">
        <f t="shared" si="27"/>
        <v>95.441159346683975</v>
      </c>
    </row>
    <row r="505" spans="1:8" s="40" customFormat="1" x14ac:dyDescent="0.2">
      <c r="A505" s="68" t="s">
        <v>89</v>
      </c>
      <c r="B505" s="22" t="s">
        <v>598</v>
      </c>
      <c r="C505" s="22" t="s">
        <v>165</v>
      </c>
      <c r="D505" s="22" t="s">
        <v>603</v>
      </c>
      <c r="E505" s="22" t="s">
        <v>90</v>
      </c>
      <c r="F505" s="31">
        <f>32778-2000+5648.5+1619.27513+919.70238+544+2560.7+744.23129+401.0359</f>
        <v>43215.444700000007</v>
      </c>
      <c r="G505" s="31">
        <v>41896.817000000003</v>
      </c>
      <c r="H505" s="31">
        <f t="shared" si="27"/>
        <v>96.948711949734943</v>
      </c>
    </row>
    <row r="506" spans="1:8" s="40" customFormat="1" ht="36" x14ac:dyDescent="0.2">
      <c r="A506" s="67" t="s">
        <v>476</v>
      </c>
      <c r="B506" s="17" t="s">
        <v>598</v>
      </c>
      <c r="C506" s="17" t="s">
        <v>165</v>
      </c>
      <c r="D506" s="17" t="s">
        <v>243</v>
      </c>
      <c r="E506" s="17"/>
      <c r="F506" s="35">
        <f>F507</f>
        <v>685235.19999999984</v>
      </c>
      <c r="G506" s="35">
        <f>G507</f>
        <v>685235.19900000002</v>
      </c>
      <c r="H506" s="35">
        <f t="shared" si="27"/>
        <v>99.99999985406474</v>
      </c>
    </row>
    <row r="507" spans="1:8" s="40" customFormat="1" x14ac:dyDescent="0.2">
      <c r="A507" s="68" t="s">
        <v>191</v>
      </c>
      <c r="B507" s="22" t="s">
        <v>598</v>
      </c>
      <c r="C507" s="22" t="s">
        <v>165</v>
      </c>
      <c r="D507" s="22" t="s">
        <v>243</v>
      </c>
      <c r="E507" s="22" t="s">
        <v>522</v>
      </c>
      <c r="F507" s="31">
        <f>F508+F509</f>
        <v>685235.19999999984</v>
      </c>
      <c r="G507" s="31">
        <f>G508+G509</f>
        <v>685235.19900000002</v>
      </c>
      <c r="H507" s="31">
        <f t="shared" si="27"/>
        <v>99.99999985406474</v>
      </c>
    </row>
    <row r="508" spans="1:8" s="40" customFormat="1" x14ac:dyDescent="0.2">
      <c r="A508" s="68" t="s">
        <v>192</v>
      </c>
      <c r="B508" s="22" t="s">
        <v>598</v>
      </c>
      <c r="C508" s="22" t="s">
        <v>165</v>
      </c>
      <c r="D508" s="22" t="s">
        <v>243</v>
      </c>
      <c r="E508" s="22" t="s">
        <v>536</v>
      </c>
      <c r="F508" s="31">
        <f>643035.2-2427-356.20963-4842.22817</f>
        <v>635409.76219999988</v>
      </c>
      <c r="G508" s="31">
        <v>635409.76199999999</v>
      </c>
      <c r="H508" s="31">
        <f t="shared" si="27"/>
        <v>99.999999968524264</v>
      </c>
    </row>
    <row r="509" spans="1:8" s="40" customFormat="1" x14ac:dyDescent="0.2">
      <c r="A509" s="68" t="s">
        <v>89</v>
      </c>
      <c r="B509" s="22" t="s">
        <v>598</v>
      </c>
      <c r="C509" s="22" t="s">
        <v>165</v>
      </c>
      <c r="D509" s="22" t="s">
        <v>243</v>
      </c>
      <c r="E509" s="22" t="s">
        <v>90</v>
      </c>
      <c r="F509" s="31">
        <f>42200+2427+356.20963+4842.22817</f>
        <v>49825.4378</v>
      </c>
      <c r="G509" s="31">
        <v>49825.436999999998</v>
      </c>
      <c r="H509" s="31">
        <f t="shared" si="27"/>
        <v>99.999998394394439</v>
      </c>
    </row>
    <row r="510" spans="1:8" s="40" customFormat="1" ht="24" x14ac:dyDescent="0.2">
      <c r="A510" s="64" t="s">
        <v>390</v>
      </c>
      <c r="B510" s="16" t="s">
        <v>598</v>
      </c>
      <c r="C510" s="16" t="s">
        <v>165</v>
      </c>
      <c r="D510" s="16" t="s">
        <v>386</v>
      </c>
      <c r="E510" s="16"/>
      <c r="F510" s="32">
        <f>F511</f>
        <v>3079.9</v>
      </c>
      <c r="G510" s="32">
        <f>G511</f>
        <v>3079.9</v>
      </c>
      <c r="H510" s="32">
        <f t="shared" si="27"/>
        <v>100</v>
      </c>
    </row>
    <row r="511" spans="1:8" s="40" customFormat="1" x14ac:dyDescent="0.2">
      <c r="A511" s="68" t="s">
        <v>191</v>
      </c>
      <c r="B511" s="22" t="s">
        <v>598</v>
      </c>
      <c r="C511" s="22" t="s">
        <v>165</v>
      </c>
      <c r="D511" s="22" t="s">
        <v>386</v>
      </c>
      <c r="E511" s="22" t="s">
        <v>522</v>
      </c>
      <c r="F511" s="31">
        <f>F512</f>
        <v>3079.9</v>
      </c>
      <c r="G511" s="31">
        <f>G512</f>
        <v>3079.9</v>
      </c>
      <c r="H511" s="31">
        <f t="shared" si="27"/>
        <v>100</v>
      </c>
    </row>
    <row r="512" spans="1:8" s="40" customFormat="1" x14ac:dyDescent="0.2">
      <c r="A512" s="68" t="s">
        <v>192</v>
      </c>
      <c r="B512" s="22" t="s">
        <v>598</v>
      </c>
      <c r="C512" s="22" t="s">
        <v>165</v>
      </c>
      <c r="D512" s="22" t="s">
        <v>386</v>
      </c>
      <c r="E512" s="22" t="s">
        <v>536</v>
      </c>
      <c r="F512" s="31">
        <v>3079.9</v>
      </c>
      <c r="G512" s="31">
        <v>3079.9</v>
      </c>
      <c r="H512" s="31">
        <f t="shared" si="27"/>
        <v>100</v>
      </c>
    </row>
    <row r="513" spans="1:8" s="40" customFormat="1" ht="27" x14ac:dyDescent="0.2">
      <c r="A513" s="70" t="s">
        <v>439</v>
      </c>
      <c r="B513" s="43" t="s">
        <v>598</v>
      </c>
      <c r="C513" s="43" t="s">
        <v>165</v>
      </c>
      <c r="D513" s="43" t="s">
        <v>353</v>
      </c>
      <c r="E513" s="43"/>
      <c r="F513" s="47">
        <f t="shared" ref="F513:G515" si="28">F514</f>
        <v>2225.1</v>
      </c>
      <c r="G513" s="47">
        <f t="shared" si="28"/>
        <v>2225.1</v>
      </c>
      <c r="H513" s="35">
        <f t="shared" si="27"/>
        <v>100</v>
      </c>
    </row>
    <row r="514" spans="1:8" s="40" customFormat="1" ht="36" x14ac:dyDescent="0.2">
      <c r="A514" s="64" t="s">
        <v>106</v>
      </c>
      <c r="B514" s="16" t="s">
        <v>598</v>
      </c>
      <c r="C514" s="16" t="s">
        <v>165</v>
      </c>
      <c r="D514" s="16" t="s">
        <v>387</v>
      </c>
      <c r="E514" s="16"/>
      <c r="F514" s="32">
        <f t="shared" si="28"/>
        <v>2225.1</v>
      </c>
      <c r="G514" s="32">
        <f t="shared" si="28"/>
        <v>2225.1</v>
      </c>
      <c r="H514" s="32">
        <f t="shared" si="27"/>
        <v>100</v>
      </c>
    </row>
    <row r="515" spans="1:8" s="40" customFormat="1" x14ac:dyDescent="0.2">
      <c r="A515" s="68" t="s">
        <v>239</v>
      </c>
      <c r="B515" s="22" t="s">
        <v>598</v>
      </c>
      <c r="C515" s="22" t="s">
        <v>165</v>
      </c>
      <c r="D515" s="22" t="s">
        <v>387</v>
      </c>
      <c r="E515" s="22" t="s">
        <v>175</v>
      </c>
      <c r="F515" s="31">
        <f t="shared" si="28"/>
        <v>2225.1</v>
      </c>
      <c r="G515" s="31">
        <f t="shared" si="28"/>
        <v>2225.1</v>
      </c>
      <c r="H515" s="31">
        <f t="shared" si="27"/>
        <v>100</v>
      </c>
    </row>
    <row r="516" spans="1:8" s="40" customFormat="1" x14ac:dyDescent="0.2">
      <c r="A516" s="68" t="s">
        <v>176</v>
      </c>
      <c r="B516" s="22" t="s">
        <v>598</v>
      </c>
      <c r="C516" s="22" t="s">
        <v>165</v>
      </c>
      <c r="D516" s="22" t="s">
        <v>387</v>
      </c>
      <c r="E516" s="22" t="s">
        <v>177</v>
      </c>
      <c r="F516" s="31">
        <v>2225.1</v>
      </c>
      <c r="G516" s="31">
        <v>2225.1</v>
      </c>
      <c r="H516" s="31">
        <f t="shared" si="27"/>
        <v>100</v>
      </c>
    </row>
    <row r="517" spans="1:8" s="40" customFormat="1" x14ac:dyDescent="0.2">
      <c r="A517" s="64" t="s">
        <v>495</v>
      </c>
      <c r="B517" s="16" t="s">
        <v>598</v>
      </c>
      <c r="C517" s="16" t="s">
        <v>599</v>
      </c>
      <c r="D517" s="16"/>
      <c r="E517" s="17"/>
      <c r="F517" s="32">
        <f>F518</f>
        <v>1184610.8</v>
      </c>
      <c r="G517" s="32">
        <f>G518</f>
        <v>1160484.06</v>
      </c>
      <c r="H517" s="32">
        <f t="shared" si="27"/>
        <v>97.963319260638187</v>
      </c>
    </row>
    <row r="518" spans="1:8" s="40" customFormat="1" ht="27" x14ac:dyDescent="0.2">
      <c r="A518" s="70" t="s">
        <v>602</v>
      </c>
      <c r="B518" s="43" t="s">
        <v>598</v>
      </c>
      <c r="C518" s="43" t="s">
        <v>599</v>
      </c>
      <c r="D518" s="43" t="s">
        <v>240</v>
      </c>
      <c r="E518" s="43"/>
      <c r="F518" s="47">
        <f>F519+F528</f>
        <v>1184610.8</v>
      </c>
      <c r="G518" s="47">
        <f>G519+G528</f>
        <v>1160484.06</v>
      </c>
      <c r="H518" s="47">
        <f t="shared" si="27"/>
        <v>97.963319260638187</v>
      </c>
    </row>
    <row r="519" spans="1:8" s="40" customFormat="1" x14ac:dyDescent="0.2">
      <c r="A519" s="64" t="s">
        <v>354</v>
      </c>
      <c r="B519" s="16" t="s">
        <v>598</v>
      </c>
      <c r="C519" s="16" t="s">
        <v>599</v>
      </c>
      <c r="D519" s="16" t="s">
        <v>241</v>
      </c>
      <c r="E519" s="16"/>
      <c r="F519" s="32">
        <f>F520+F524</f>
        <v>1164610.8</v>
      </c>
      <c r="G519" s="32">
        <f>G520+G524</f>
        <v>1142621.9450000001</v>
      </c>
      <c r="H519" s="32">
        <f t="shared" si="27"/>
        <v>98.1119138685645</v>
      </c>
    </row>
    <row r="520" spans="1:8" s="40" customFormat="1" x14ac:dyDescent="0.2">
      <c r="A520" s="69" t="s">
        <v>356</v>
      </c>
      <c r="B520" s="25" t="s">
        <v>598</v>
      </c>
      <c r="C520" s="25" t="s">
        <v>599</v>
      </c>
      <c r="D520" s="25" t="s">
        <v>246</v>
      </c>
      <c r="E520" s="25"/>
      <c r="F520" s="85">
        <f>F521</f>
        <v>288167.8</v>
      </c>
      <c r="G520" s="85">
        <f>G521</f>
        <v>266179.38799999998</v>
      </c>
      <c r="H520" s="85">
        <f t="shared" si="27"/>
        <v>92.369580501360659</v>
      </c>
    </row>
    <row r="521" spans="1:8" s="40" customFormat="1" x14ac:dyDescent="0.2">
      <c r="A521" s="68" t="s">
        <v>191</v>
      </c>
      <c r="B521" s="22" t="s">
        <v>598</v>
      </c>
      <c r="C521" s="22" t="s">
        <v>599</v>
      </c>
      <c r="D521" s="22" t="s">
        <v>604</v>
      </c>
      <c r="E521" s="22" t="s">
        <v>522</v>
      </c>
      <c r="F521" s="31">
        <f>F522+F523</f>
        <v>288167.8</v>
      </c>
      <c r="G521" s="31">
        <f>G522+G523</f>
        <v>266179.38799999998</v>
      </c>
      <c r="H521" s="31">
        <f t="shared" si="27"/>
        <v>92.369580501360659</v>
      </c>
    </row>
    <row r="522" spans="1:8" s="40" customFormat="1" x14ac:dyDescent="0.2">
      <c r="A522" s="68" t="s">
        <v>192</v>
      </c>
      <c r="B522" s="22" t="s">
        <v>598</v>
      </c>
      <c r="C522" s="22" t="s">
        <v>599</v>
      </c>
      <c r="D522" s="22" t="s">
        <v>604</v>
      </c>
      <c r="E522" s="22" t="s">
        <v>536</v>
      </c>
      <c r="F522" s="31">
        <f>272913.8+10000-4400+1600+205+103.798</f>
        <v>280422.598</v>
      </c>
      <c r="G522" s="31">
        <v>258816.13699999999</v>
      </c>
      <c r="H522" s="31">
        <f t="shared" si="27"/>
        <v>92.295035723190892</v>
      </c>
    </row>
    <row r="523" spans="1:8" s="40" customFormat="1" x14ac:dyDescent="0.2">
      <c r="A523" s="68" t="s">
        <v>89</v>
      </c>
      <c r="B523" s="22" t="s">
        <v>598</v>
      </c>
      <c r="C523" s="22" t="s">
        <v>599</v>
      </c>
      <c r="D523" s="22" t="s">
        <v>604</v>
      </c>
      <c r="E523" s="22" t="s">
        <v>90</v>
      </c>
      <c r="F523" s="31">
        <f>9654-1600-205-103.798</f>
        <v>7745.2020000000002</v>
      </c>
      <c r="G523" s="31">
        <v>7363.2510000000002</v>
      </c>
      <c r="H523" s="31">
        <f t="shared" si="27"/>
        <v>95.068546953326717</v>
      </c>
    </row>
    <row r="524" spans="1:8" s="40" customFormat="1" ht="48" x14ac:dyDescent="0.2">
      <c r="A524" s="51" t="s">
        <v>484</v>
      </c>
      <c r="B524" s="17" t="s">
        <v>598</v>
      </c>
      <c r="C524" s="17" t="s">
        <v>599</v>
      </c>
      <c r="D524" s="17" t="s">
        <v>357</v>
      </c>
      <c r="E524" s="17"/>
      <c r="F524" s="35">
        <f>F525</f>
        <v>876443</v>
      </c>
      <c r="G524" s="35">
        <f>G525</f>
        <v>876442.55700000003</v>
      </c>
      <c r="H524" s="35">
        <f t="shared" si="27"/>
        <v>99.999949454784854</v>
      </c>
    </row>
    <row r="525" spans="1:8" s="40" customFormat="1" x14ac:dyDescent="0.2">
      <c r="A525" s="68" t="s">
        <v>191</v>
      </c>
      <c r="B525" s="22" t="s">
        <v>598</v>
      </c>
      <c r="C525" s="22" t="s">
        <v>599</v>
      </c>
      <c r="D525" s="22" t="s">
        <v>357</v>
      </c>
      <c r="E525" s="22" t="s">
        <v>522</v>
      </c>
      <c r="F525" s="31">
        <f>F526+F527</f>
        <v>876443</v>
      </c>
      <c r="G525" s="31">
        <f>G526+G527</f>
        <v>876442.55700000003</v>
      </c>
      <c r="H525" s="31">
        <f t="shared" si="27"/>
        <v>99.999949454784854</v>
      </c>
    </row>
    <row r="526" spans="1:8" s="40" customFormat="1" x14ac:dyDescent="0.2">
      <c r="A526" s="68" t="s">
        <v>192</v>
      </c>
      <c r="B526" s="22" t="s">
        <v>598</v>
      </c>
      <c r="C526" s="22" t="s">
        <v>599</v>
      </c>
      <c r="D526" s="22" t="s">
        <v>357</v>
      </c>
      <c r="E526" s="22" t="s">
        <v>536</v>
      </c>
      <c r="F526" s="31">
        <f>837118+4600-2123.3397</f>
        <v>839594.66029999999</v>
      </c>
      <c r="G526" s="31">
        <v>839594.21799999999</v>
      </c>
      <c r="H526" s="31">
        <f t="shared" si="27"/>
        <v>99.999947319817423</v>
      </c>
    </row>
    <row r="527" spans="1:8" s="40" customFormat="1" x14ac:dyDescent="0.2">
      <c r="A527" s="68" t="s">
        <v>89</v>
      </c>
      <c r="B527" s="22" t="s">
        <v>598</v>
      </c>
      <c r="C527" s="22" t="s">
        <v>599</v>
      </c>
      <c r="D527" s="22" t="s">
        <v>357</v>
      </c>
      <c r="E527" s="22" t="s">
        <v>90</v>
      </c>
      <c r="F527" s="31">
        <f>34725+2123.3397</f>
        <v>36848.339699999997</v>
      </c>
      <c r="G527" s="31">
        <v>36848.339</v>
      </c>
      <c r="H527" s="31">
        <f t="shared" si="27"/>
        <v>99.999998100321477</v>
      </c>
    </row>
    <row r="528" spans="1:8" s="40" customFormat="1" x14ac:dyDescent="0.2">
      <c r="A528" s="64" t="s">
        <v>366</v>
      </c>
      <c r="B528" s="16" t="s">
        <v>598</v>
      </c>
      <c r="C528" s="16" t="s">
        <v>599</v>
      </c>
      <c r="D528" s="16" t="s">
        <v>249</v>
      </c>
      <c r="E528" s="16"/>
      <c r="F528" s="32">
        <f>F529</f>
        <v>20000</v>
      </c>
      <c r="G528" s="32">
        <f>G529</f>
        <v>17862.115000000002</v>
      </c>
      <c r="H528" s="32">
        <f t="shared" si="27"/>
        <v>89.310575</v>
      </c>
    </row>
    <row r="529" spans="1:8" s="40" customFormat="1" x14ac:dyDescent="0.2">
      <c r="A529" s="101" t="s">
        <v>258</v>
      </c>
      <c r="B529" s="17" t="s">
        <v>598</v>
      </c>
      <c r="C529" s="17" t="s">
        <v>599</v>
      </c>
      <c r="D529" s="17" t="s">
        <v>605</v>
      </c>
      <c r="E529" s="17"/>
      <c r="F529" s="35">
        <f>F530</f>
        <v>20000</v>
      </c>
      <c r="G529" s="35">
        <f>G530</f>
        <v>17862.115000000002</v>
      </c>
      <c r="H529" s="35">
        <f t="shared" si="27"/>
        <v>89.310575</v>
      </c>
    </row>
    <row r="530" spans="1:8" s="40" customFormat="1" x14ac:dyDescent="0.2">
      <c r="A530" s="68" t="s">
        <v>191</v>
      </c>
      <c r="B530" s="22" t="s">
        <v>598</v>
      </c>
      <c r="C530" s="22" t="s">
        <v>599</v>
      </c>
      <c r="D530" s="22" t="s">
        <v>606</v>
      </c>
      <c r="E530" s="22" t="s">
        <v>522</v>
      </c>
      <c r="F530" s="31">
        <f>F531+F532</f>
        <v>20000</v>
      </c>
      <c r="G530" s="31">
        <f>G531+G532</f>
        <v>17862.115000000002</v>
      </c>
      <c r="H530" s="31">
        <f t="shared" si="27"/>
        <v>89.310575</v>
      </c>
    </row>
    <row r="531" spans="1:8" s="40" customFormat="1" x14ac:dyDescent="0.2">
      <c r="A531" s="68" t="s">
        <v>192</v>
      </c>
      <c r="B531" s="22" t="s">
        <v>598</v>
      </c>
      <c r="C531" s="22" t="s">
        <v>599</v>
      </c>
      <c r="D531" s="22" t="s">
        <v>606</v>
      </c>
      <c r="E531" s="22" t="s">
        <v>536</v>
      </c>
      <c r="F531" s="31">
        <f>19142+154.715</f>
        <v>19296.715</v>
      </c>
      <c r="G531" s="31">
        <v>17430.285</v>
      </c>
      <c r="H531" s="31">
        <f t="shared" si="27"/>
        <v>90.327731948158018</v>
      </c>
    </row>
    <row r="532" spans="1:8" s="40" customFormat="1" x14ac:dyDescent="0.2">
      <c r="A532" s="68" t="s">
        <v>89</v>
      </c>
      <c r="B532" s="22" t="s">
        <v>598</v>
      </c>
      <c r="C532" s="22" t="s">
        <v>599</v>
      </c>
      <c r="D532" s="22" t="s">
        <v>606</v>
      </c>
      <c r="E532" s="22" t="s">
        <v>90</v>
      </c>
      <c r="F532" s="31">
        <f>858-154.715</f>
        <v>703.28499999999997</v>
      </c>
      <c r="G532" s="31">
        <v>431.83</v>
      </c>
      <c r="H532" s="31">
        <f t="shared" si="27"/>
        <v>61.401849890158331</v>
      </c>
    </row>
    <row r="533" spans="1:8" s="24" customFormat="1" x14ac:dyDescent="0.2">
      <c r="A533" s="64" t="s">
        <v>358</v>
      </c>
      <c r="B533" s="16" t="s">
        <v>598</v>
      </c>
      <c r="C533" s="16" t="s">
        <v>591</v>
      </c>
      <c r="D533" s="16"/>
      <c r="E533" s="16"/>
      <c r="F533" s="32">
        <f>F534+F543+F553+F549</f>
        <v>212561.2</v>
      </c>
      <c r="G533" s="32">
        <f>G534+G543+G553+G549</f>
        <v>207941.46</v>
      </c>
      <c r="H533" s="32">
        <f t="shared" si="27"/>
        <v>97.826630636259111</v>
      </c>
    </row>
    <row r="534" spans="1:8" s="24" customFormat="1" ht="27" x14ac:dyDescent="0.2">
      <c r="A534" s="70" t="s">
        <v>602</v>
      </c>
      <c r="B534" s="43" t="s">
        <v>598</v>
      </c>
      <c r="C534" s="43" t="s">
        <v>591</v>
      </c>
      <c r="D534" s="43" t="s">
        <v>240</v>
      </c>
      <c r="E534" s="25"/>
      <c r="F534" s="47">
        <f>F535</f>
        <v>98134.2</v>
      </c>
      <c r="G534" s="47">
        <f>G535</f>
        <v>96978.516999999993</v>
      </c>
      <c r="H534" s="47">
        <f t="shared" si="27"/>
        <v>98.822344299948426</v>
      </c>
    </row>
    <row r="535" spans="1:8" s="24" customFormat="1" x14ac:dyDescent="0.2">
      <c r="A535" s="64" t="s">
        <v>354</v>
      </c>
      <c r="B535" s="16" t="s">
        <v>598</v>
      </c>
      <c r="C535" s="16" t="s">
        <v>591</v>
      </c>
      <c r="D535" s="16" t="s">
        <v>241</v>
      </c>
      <c r="E535" s="22"/>
      <c r="F535" s="32">
        <f>F536+F540</f>
        <v>98134.2</v>
      </c>
      <c r="G535" s="32">
        <f>G536+G540</f>
        <v>96978.516999999993</v>
      </c>
      <c r="H535" s="32">
        <f t="shared" si="27"/>
        <v>98.822344299948426</v>
      </c>
    </row>
    <row r="536" spans="1:8" s="24" customFormat="1" x14ac:dyDescent="0.2">
      <c r="A536" s="67" t="s">
        <v>359</v>
      </c>
      <c r="B536" s="17" t="s">
        <v>598</v>
      </c>
      <c r="C536" s="17" t="s">
        <v>591</v>
      </c>
      <c r="D536" s="17" t="s">
        <v>247</v>
      </c>
      <c r="E536" s="17"/>
      <c r="F536" s="35">
        <f>F537</f>
        <v>97634.2</v>
      </c>
      <c r="G536" s="35">
        <f>G537</f>
        <v>96478.516999999993</v>
      </c>
      <c r="H536" s="35">
        <f t="shared" si="27"/>
        <v>98.816313341021882</v>
      </c>
    </row>
    <row r="537" spans="1:8" s="24" customFormat="1" x14ac:dyDescent="0.2">
      <c r="A537" s="68" t="s">
        <v>191</v>
      </c>
      <c r="B537" s="22" t="s">
        <v>598</v>
      </c>
      <c r="C537" s="22" t="s">
        <v>591</v>
      </c>
      <c r="D537" s="22" t="s">
        <v>607</v>
      </c>
      <c r="E537" s="22" t="s">
        <v>522</v>
      </c>
      <c r="F537" s="31">
        <f>F538+F539</f>
        <v>97634.2</v>
      </c>
      <c r="G537" s="31">
        <f>G538+G539</f>
        <v>96478.516999999993</v>
      </c>
      <c r="H537" s="31">
        <f t="shared" si="27"/>
        <v>98.816313341021882</v>
      </c>
    </row>
    <row r="538" spans="1:8" s="24" customFormat="1" x14ac:dyDescent="0.2">
      <c r="A538" s="68" t="s">
        <v>192</v>
      </c>
      <c r="B538" s="22" t="s">
        <v>598</v>
      </c>
      <c r="C538" s="22" t="s">
        <v>591</v>
      </c>
      <c r="D538" s="22" t="s">
        <v>607</v>
      </c>
      <c r="E538" s="22" t="s">
        <v>536</v>
      </c>
      <c r="F538" s="31">
        <f>2873-19.86475</f>
        <v>2853.1352499999998</v>
      </c>
      <c r="G538" s="31">
        <v>2771.8510000000001</v>
      </c>
      <c r="H538" s="31">
        <f t="shared" si="27"/>
        <v>97.151055141882964</v>
      </c>
    </row>
    <row r="539" spans="1:8" s="24" customFormat="1" x14ac:dyDescent="0.2">
      <c r="A539" s="68" t="s">
        <v>89</v>
      </c>
      <c r="B539" s="22" t="s">
        <v>598</v>
      </c>
      <c r="C539" s="22" t="s">
        <v>591</v>
      </c>
      <c r="D539" s="22" t="s">
        <v>607</v>
      </c>
      <c r="E539" s="22" t="s">
        <v>90</v>
      </c>
      <c r="F539" s="31">
        <f>94761.2+19.86475</f>
        <v>94781.06474999999</v>
      </c>
      <c r="G539" s="31">
        <v>93706.665999999997</v>
      </c>
      <c r="H539" s="31">
        <f t="shared" si="27"/>
        <v>98.866441569490817</v>
      </c>
    </row>
    <row r="540" spans="1:8" s="24" customFormat="1" ht="24" x14ac:dyDescent="0.2">
      <c r="A540" s="64" t="s">
        <v>385</v>
      </c>
      <c r="B540" s="16" t="s">
        <v>598</v>
      </c>
      <c r="C540" s="16" t="s">
        <v>591</v>
      </c>
      <c r="D540" s="16" t="s">
        <v>386</v>
      </c>
      <c r="E540" s="16"/>
      <c r="F540" s="32">
        <f>F541</f>
        <v>500</v>
      </c>
      <c r="G540" s="32">
        <f>G541</f>
        <v>500</v>
      </c>
      <c r="H540" s="32">
        <f t="shared" si="27"/>
        <v>100</v>
      </c>
    </row>
    <row r="541" spans="1:8" s="24" customFormat="1" x14ac:dyDescent="0.2">
      <c r="A541" s="68" t="s">
        <v>191</v>
      </c>
      <c r="B541" s="22" t="s">
        <v>598</v>
      </c>
      <c r="C541" s="22" t="s">
        <v>591</v>
      </c>
      <c r="D541" s="22" t="s">
        <v>386</v>
      </c>
      <c r="E541" s="22" t="s">
        <v>522</v>
      </c>
      <c r="F541" s="31">
        <f>F542</f>
        <v>500</v>
      </c>
      <c r="G541" s="31">
        <f>G542</f>
        <v>500</v>
      </c>
      <c r="H541" s="31">
        <f t="shared" si="27"/>
        <v>100</v>
      </c>
    </row>
    <row r="542" spans="1:8" s="24" customFormat="1" x14ac:dyDescent="0.2">
      <c r="A542" s="68" t="s">
        <v>89</v>
      </c>
      <c r="B542" s="22" t="s">
        <v>598</v>
      </c>
      <c r="C542" s="22" t="s">
        <v>591</v>
      </c>
      <c r="D542" s="22" t="s">
        <v>386</v>
      </c>
      <c r="E542" s="22" t="s">
        <v>90</v>
      </c>
      <c r="F542" s="31">
        <v>500</v>
      </c>
      <c r="G542" s="31">
        <v>500</v>
      </c>
      <c r="H542" s="31">
        <f t="shared" si="27"/>
        <v>100</v>
      </c>
    </row>
    <row r="543" spans="1:8" s="24" customFormat="1" ht="27" x14ac:dyDescent="0.2">
      <c r="A543" s="70" t="s">
        <v>438</v>
      </c>
      <c r="B543" s="43" t="s">
        <v>598</v>
      </c>
      <c r="C543" s="43" t="s">
        <v>591</v>
      </c>
      <c r="D543" s="43" t="s">
        <v>337</v>
      </c>
      <c r="E543" s="43"/>
      <c r="F543" s="47">
        <f t="shared" ref="F543:G547" si="29">F544</f>
        <v>84483.400000000009</v>
      </c>
      <c r="G543" s="47">
        <f t="shared" si="29"/>
        <v>83314.475999999995</v>
      </c>
      <c r="H543" s="47">
        <f t="shared" si="27"/>
        <v>98.616386177639612</v>
      </c>
    </row>
    <row r="544" spans="1:8" s="24" customFormat="1" x14ac:dyDescent="0.2">
      <c r="A544" s="64" t="s">
        <v>471</v>
      </c>
      <c r="B544" s="16" t="s">
        <v>598</v>
      </c>
      <c r="C544" s="16" t="s">
        <v>591</v>
      </c>
      <c r="D544" s="16" t="s">
        <v>338</v>
      </c>
      <c r="E544" s="16"/>
      <c r="F544" s="32">
        <f t="shared" si="29"/>
        <v>84483.400000000009</v>
      </c>
      <c r="G544" s="32">
        <f t="shared" si="29"/>
        <v>83314.475999999995</v>
      </c>
      <c r="H544" s="32">
        <f t="shared" si="27"/>
        <v>98.616386177639612</v>
      </c>
    </row>
    <row r="545" spans="1:8" s="24" customFormat="1" ht="24" x14ac:dyDescent="0.2">
      <c r="A545" s="64" t="s">
        <v>472</v>
      </c>
      <c r="B545" s="16" t="s">
        <v>598</v>
      </c>
      <c r="C545" s="16" t="s">
        <v>591</v>
      </c>
      <c r="D545" s="16" t="s">
        <v>72</v>
      </c>
      <c r="E545" s="16"/>
      <c r="F545" s="32">
        <f t="shared" si="29"/>
        <v>84483.400000000009</v>
      </c>
      <c r="G545" s="32">
        <f t="shared" si="29"/>
        <v>83314.475999999995</v>
      </c>
      <c r="H545" s="32">
        <f t="shared" si="27"/>
        <v>98.616386177639612</v>
      </c>
    </row>
    <row r="546" spans="1:8" s="24" customFormat="1" ht="24" x14ac:dyDescent="0.2">
      <c r="A546" s="69" t="s">
        <v>392</v>
      </c>
      <c r="B546" s="25" t="s">
        <v>598</v>
      </c>
      <c r="C546" s="25" t="s">
        <v>591</v>
      </c>
      <c r="D546" s="25" t="s">
        <v>72</v>
      </c>
      <c r="E546" s="17"/>
      <c r="F546" s="35">
        <f t="shared" si="29"/>
        <v>84483.400000000009</v>
      </c>
      <c r="G546" s="35">
        <f t="shared" si="29"/>
        <v>83314.475999999995</v>
      </c>
      <c r="H546" s="35">
        <f t="shared" si="27"/>
        <v>98.616386177639612</v>
      </c>
    </row>
    <row r="547" spans="1:8" s="24" customFormat="1" x14ac:dyDescent="0.2">
      <c r="A547" s="68" t="s">
        <v>191</v>
      </c>
      <c r="B547" s="22" t="s">
        <v>598</v>
      </c>
      <c r="C547" s="22" t="s">
        <v>591</v>
      </c>
      <c r="D547" s="22" t="s">
        <v>72</v>
      </c>
      <c r="E547" s="22" t="s">
        <v>522</v>
      </c>
      <c r="F547" s="31">
        <f t="shared" si="29"/>
        <v>84483.400000000009</v>
      </c>
      <c r="G547" s="31">
        <f t="shared" si="29"/>
        <v>83314.475999999995</v>
      </c>
      <c r="H547" s="31">
        <f t="shared" si="27"/>
        <v>98.616386177639612</v>
      </c>
    </row>
    <row r="548" spans="1:8" s="24" customFormat="1" x14ac:dyDescent="0.2">
      <c r="A548" s="68" t="s">
        <v>192</v>
      </c>
      <c r="B548" s="22" t="s">
        <v>598</v>
      </c>
      <c r="C548" s="22" t="s">
        <v>591</v>
      </c>
      <c r="D548" s="22" t="s">
        <v>72</v>
      </c>
      <c r="E548" s="22" t="s">
        <v>536</v>
      </c>
      <c r="F548" s="31">
        <f>91873.4-4000-417.9-333-1462.2-1176.9</f>
        <v>84483.400000000009</v>
      </c>
      <c r="G548" s="31">
        <v>83314.475999999995</v>
      </c>
      <c r="H548" s="31">
        <f t="shared" si="27"/>
        <v>98.616386177639612</v>
      </c>
    </row>
    <row r="549" spans="1:8" s="24" customFormat="1" ht="27" x14ac:dyDescent="0.2">
      <c r="A549" s="70" t="s">
        <v>439</v>
      </c>
      <c r="B549" s="43" t="s">
        <v>598</v>
      </c>
      <c r="C549" s="43" t="s">
        <v>591</v>
      </c>
      <c r="D549" s="43" t="s">
        <v>353</v>
      </c>
      <c r="E549" s="43"/>
      <c r="F549" s="47">
        <f t="shared" ref="F549:G551" si="30">F550</f>
        <v>500</v>
      </c>
      <c r="G549" s="47">
        <f t="shared" si="30"/>
        <v>500</v>
      </c>
      <c r="H549" s="35">
        <f t="shared" si="27"/>
        <v>100</v>
      </c>
    </row>
    <row r="550" spans="1:8" s="24" customFormat="1" ht="36" x14ac:dyDescent="0.2">
      <c r="A550" s="64" t="s">
        <v>106</v>
      </c>
      <c r="B550" s="16" t="s">
        <v>598</v>
      </c>
      <c r="C550" s="16" t="s">
        <v>591</v>
      </c>
      <c r="D550" s="16" t="s">
        <v>387</v>
      </c>
      <c r="E550" s="16"/>
      <c r="F550" s="32">
        <f t="shared" si="30"/>
        <v>500</v>
      </c>
      <c r="G550" s="32">
        <f t="shared" si="30"/>
        <v>500</v>
      </c>
      <c r="H550" s="32">
        <f t="shared" si="27"/>
        <v>100</v>
      </c>
    </row>
    <row r="551" spans="1:8" s="24" customFormat="1" x14ac:dyDescent="0.2">
      <c r="A551" s="68" t="s">
        <v>239</v>
      </c>
      <c r="B551" s="22" t="s">
        <v>598</v>
      </c>
      <c r="C551" s="22" t="s">
        <v>591</v>
      </c>
      <c r="D551" s="22" t="s">
        <v>387</v>
      </c>
      <c r="E551" s="22" t="s">
        <v>175</v>
      </c>
      <c r="F551" s="31">
        <f t="shared" si="30"/>
        <v>500</v>
      </c>
      <c r="G551" s="31">
        <f t="shared" si="30"/>
        <v>500</v>
      </c>
      <c r="H551" s="31">
        <f t="shared" si="27"/>
        <v>100</v>
      </c>
    </row>
    <row r="552" spans="1:8" s="24" customFormat="1" x14ac:dyDescent="0.2">
      <c r="A552" s="68" t="s">
        <v>176</v>
      </c>
      <c r="B552" s="22" t="s">
        <v>598</v>
      </c>
      <c r="C552" s="22" t="s">
        <v>591</v>
      </c>
      <c r="D552" s="22" t="s">
        <v>387</v>
      </c>
      <c r="E552" s="22" t="s">
        <v>177</v>
      </c>
      <c r="F552" s="31">
        <v>500</v>
      </c>
      <c r="G552" s="31">
        <v>500</v>
      </c>
      <c r="H552" s="31">
        <f t="shared" si="27"/>
        <v>100</v>
      </c>
    </row>
    <row r="553" spans="1:8" s="24" customFormat="1" ht="27" x14ac:dyDescent="0.2">
      <c r="A553" s="70" t="s">
        <v>67</v>
      </c>
      <c r="B553" s="43" t="s">
        <v>598</v>
      </c>
      <c r="C553" s="43" t="s">
        <v>591</v>
      </c>
      <c r="D553" s="43" t="s">
        <v>129</v>
      </c>
      <c r="E553" s="43"/>
      <c r="F553" s="47">
        <f t="shared" ref="F553:G557" si="31">F554</f>
        <v>29443.599999999999</v>
      </c>
      <c r="G553" s="47">
        <f t="shared" si="31"/>
        <v>27148.467000000001</v>
      </c>
      <c r="H553" s="47">
        <f t="shared" si="27"/>
        <v>92.204985124101682</v>
      </c>
    </row>
    <row r="554" spans="1:8" s="24" customFormat="1" ht="24" x14ac:dyDescent="0.2">
      <c r="A554" s="61" t="s">
        <v>128</v>
      </c>
      <c r="B554" s="16" t="s">
        <v>598</v>
      </c>
      <c r="C554" s="16" t="s">
        <v>591</v>
      </c>
      <c r="D554" s="16" t="s">
        <v>130</v>
      </c>
      <c r="E554" s="16"/>
      <c r="F554" s="32">
        <f t="shared" si="31"/>
        <v>29443.599999999999</v>
      </c>
      <c r="G554" s="32">
        <f t="shared" si="31"/>
        <v>27148.467000000001</v>
      </c>
      <c r="H554" s="32">
        <f t="shared" si="27"/>
        <v>92.204985124101682</v>
      </c>
    </row>
    <row r="555" spans="1:8" s="24" customFormat="1" x14ac:dyDescent="0.2">
      <c r="A555" s="61" t="s">
        <v>131</v>
      </c>
      <c r="B555" s="16" t="s">
        <v>598</v>
      </c>
      <c r="C555" s="16" t="s">
        <v>591</v>
      </c>
      <c r="D555" s="16" t="s">
        <v>69</v>
      </c>
      <c r="E555" s="16"/>
      <c r="F555" s="32">
        <f t="shared" si="31"/>
        <v>29443.599999999999</v>
      </c>
      <c r="G555" s="32">
        <f t="shared" si="31"/>
        <v>27148.467000000001</v>
      </c>
      <c r="H555" s="32">
        <f t="shared" si="27"/>
        <v>92.204985124101682</v>
      </c>
    </row>
    <row r="556" spans="1:8" s="24" customFormat="1" ht="24" x14ac:dyDescent="0.2">
      <c r="A556" s="88" t="s">
        <v>392</v>
      </c>
      <c r="B556" s="25" t="s">
        <v>598</v>
      </c>
      <c r="C556" s="25" t="s">
        <v>591</v>
      </c>
      <c r="D556" s="25" t="s">
        <v>69</v>
      </c>
      <c r="E556" s="25"/>
      <c r="F556" s="85">
        <f t="shared" si="31"/>
        <v>29443.599999999999</v>
      </c>
      <c r="G556" s="85">
        <f t="shared" si="31"/>
        <v>27148.467000000001</v>
      </c>
      <c r="H556" s="85">
        <f t="shared" si="27"/>
        <v>92.204985124101682</v>
      </c>
    </row>
    <row r="557" spans="1:8" s="24" customFormat="1" x14ac:dyDescent="0.2">
      <c r="A557" s="68" t="s">
        <v>191</v>
      </c>
      <c r="B557" s="22" t="s">
        <v>598</v>
      </c>
      <c r="C557" s="22" t="s">
        <v>591</v>
      </c>
      <c r="D557" s="22" t="s">
        <v>69</v>
      </c>
      <c r="E557" s="22" t="s">
        <v>522</v>
      </c>
      <c r="F557" s="31">
        <f t="shared" si="31"/>
        <v>29443.599999999999</v>
      </c>
      <c r="G557" s="31">
        <f t="shared" si="31"/>
        <v>27148.467000000001</v>
      </c>
      <c r="H557" s="31">
        <f t="shared" si="27"/>
        <v>92.204985124101682</v>
      </c>
    </row>
    <row r="558" spans="1:8" s="24" customFormat="1" x14ac:dyDescent="0.2">
      <c r="A558" s="68" t="s">
        <v>89</v>
      </c>
      <c r="B558" s="22" t="s">
        <v>598</v>
      </c>
      <c r="C558" s="22" t="s">
        <v>591</v>
      </c>
      <c r="D558" s="22" t="s">
        <v>69</v>
      </c>
      <c r="E558" s="22" t="s">
        <v>90</v>
      </c>
      <c r="F558" s="31">
        <v>29443.599999999999</v>
      </c>
      <c r="G558" s="31">
        <v>27148.467000000001</v>
      </c>
      <c r="H558" s="31">
        <f t="shared" si="27"/>
        <v>92.204985124101682</v>
      </c>
    </row>
    <row r="559" spans="1:8" s="24" customFormat="1" x14ac:dyDescent="0.2">
      <c r="A559" s="64" t="s">
        <v>496</v>
      </c>
      <c r="B559" s="16" t="s">
        <v>598</v>
      </c>
      <c r="C559" s="16" t="s">
        <v>598</v>
      </c>
      <c r="D559" s="16"/>
      <c r="E559" s="16"/>
      <c r="F559" s="32">
        <f>F560+F571+F576</f>
        <v>6065.5599999999995</v>
      </c>
      <c r="G559" s="32">
        <f>G560+G571+G576</f>
        <v>5078.5210000000006</v>
      </c>
      <c r="H559" s="32">
        <f t="shared" si="27"/>
        <v>83.727157921115307</v>
      </c>
    </row>
    <row r="560" spans="1:8" s="24" customFormat="1" ht="27" x14ac:dyDescent="0.2">
      <c r="A560" s="70" t="s">
        <v>438</v>
      </c>
      <c r="B560" s="43" t="s">
        <v>598</v>
      </c>
      <c r="C560" s="43" t="s">
        <v>598</v>
      </c>
      <c r="D560" s="43" t="s">
        <v>337</v>
      </c>
      <c r="E560" s="43"/>
      <c r="F560" s="47">
        <f>F561</f>
        <v>2315.56</v>
      </c>
      <c r="G560" s="47">
        <f>G561</f>
        <v>1815.56</v>
      </c>
      <c r="H560" s="47">
        <f t="shared" ref="H560:H623" si="32">G560/F560*100</f>
        <v>78.406951234258671</v>
      </c>
    </row>
    <row r="561" spans="1:8" s="24" customFormat="1" ht="13.5" x14ac:dyDescent="0.2">
      <c r="A561" s="70" t="s">
        <v>470</v>
      </c>
      <c r="B561" s="43" t="s">
        <v>598</v>
      </c>
      <c r="C561" s="43" t="s">
        <v>598</v>
      </c>
      <c r="D561" s="43" t="s">
        <v>342</v>
      </c>
      <c r="E561" s="43"/>
      <c r="F561" s="47">
        <f>F562+F565+F568</f>
        <v>2315.56</v>
      </c>
      <c r="G561" s="47">
        <f>G562+G565+G568</f>
        <v>1815.56</v>
      </c>
      <c r="H561" s="47">
        <f t="shared" si="32"/>
        <v>78.406951234258671</v>
      </c>
    </row>
    <row r="562" spans="1:8" s="24" customFormat="1" x14ac:dyDescent="0.2">
      <c r="A562" s="61" t="s">
        <v>343</v>
      </c>
      <c r="B562" s="16" t="s">
        <v>598</v>
      </c>
      <c r="C562" s="16" t="s">
        <v>598</v>
      </c>
      <c r="D562" s="16" t="s">
        <v>73</v>
      </c>
      <c r="E562" s="16"/>
      <c r="F562" s="32">
        <f>F563</f>
        <v>1740.56</v>
      </c>
      <c r="G562" s="32">
        <f>G563</f>
        <v>1740.56</v>
      </c>
      <c r="H562" s="32">
        <f t="shared" si="32"/>
        <v>100</v>
      </c>
    </row>
    <row r="563" spans="1:8" s="24" customFormat="1" x14ac:dyDescent="0.2">
      <c r="A563" s="68" t="s">
        <v>378</v>
      </c>
      <c r="B563" s="22" t="s">
        <v>598</v>
      </c>
      <c r="C563" s="22" t="s">
        <v>598</v>
      </c>
      <c r="D563" s="22" t="s">
        <v>73</v>
      </c>
      <c r="E563" s="22" t="s">
        <v>175</v>
      </c>
      <c r="F563" s="31">
        <f>F564</f>
        <v>1740.56</v>
      </c>
      <c r="G563" s="31">
        <f>G564</f>
        <v>1740.56</v>
      </c>
      <c r="H563" s="31">
        <f t="shared" si="32"/>
        <v>100</v>
      </c>
    </row>
    <row r="564" spans="1:8" s="24" customFormat="1" x14ac:dyDescent="0.2">
      <c r="A564" s="68" t="s">
        <v>176</v>
      </c>
      <c r="B564" s="22" t="s">
        <v>598</v>
      </c>
      <c r="C564" s="22" t="s">
        <v>598</v>
      </c>
      <c r="D564" s="22" t="s">
        <v>73</v>
      </c>
      <c r="E564" s="22" t="s">
        <v>177</v>
      </c>
      <c r="F564" s="31">
        <f>1850-109.19-0.25</f>
        <v>1740.56</v>
      </c>
      <c r="G564" s="31">
        <v>1740.56</v>
      </c>
      <c r="H564" s="31">
        <f t="shared" si="32"/>
        <v>100</v>
      </c>
    </row>
    <row r="565" spans="1:8" s="24" customFormat="1" x14ac:dyDescent="0.2">
      <c r="A565" s="61" t="s">
        <v>344</v>
      </c>
      <c r="B565" s="16" t="s">
        <v>598</v>
      </c>
      <c r="C565" s="16" t="s">
        <v>598</v>
      </c>
      <c r="D565" s="16" t="s">
        <v>74</v>
      </c>
      <c r="E565" s="16"/>
      <c r="F565" s="32">
        <f>F566</f>
        <v>75</v>
      </c>
      <c r="G565" s="32">
        <f>G566</f>
        <v>75</v>
      </c>
      <c r="H565" s="32">
        <f t="shared" si="32"/>
        <v>100</v>
      </c>
    </row>
    <row r="566" spans="1:8" s="24" customFormat="1" x14ac:dyDescent="0.2">
      <c r="A566" s="68" t="s">
        <v>378</v>
      </c>
      <c r="B566" s="22" t="s">
        <v>598</v>
      </c>
      <c r="C566" s="22" t="s">
        <v>598</v>
      </c>
      <c r="D566" s="22" t="s">
        <v>74</v>
      </c>
      <c r="E566" s="22" t="s">
        <v>175</v>
      </c>
      <c r="F566" s="31">
        <f>F567</f>
        <v>75</v>
      </c>
      <c r="G566" s="31">
        <f>G567</f>
        <v>75</v>
      </c>
      <c r="H566" s="31">
        <f t="shared" si="32"/>
        <v>100</v>
      </c>
    </row>
    <row r="567" spans="1:8" s="24" customFormat="1" x14ac:dyDescent="0.2">
      <c r="A567" s="68" t="s">
        <v>176</v>
      </c>
      <c r="B567" s="22" t="s">
        <v>598</v>
      </c>
      <c r="C567" s="22" t="s">
        <v>598</v>
      </c>
      <c r="D567" s="22" t="s">
        <v>74</v>
      </c>
      <c r="E567" s="22" t="s">
        <v>177</v>
      </c>
      <c r="F567" s="31">
        <f>150-75</f>
        <v>75</v>
      </c>
      <c r="G567" s="31">
        <v>75</v>
      </c>
      <c r="H567" s="31">
        <f t="shared" si="32"/>
        <v>100</v>
      </c>
    </row>
    <row r="568" spans="1:8" s="24" customFormat="1" ht="24" x14ac:dyDescent="0.2">
      <c r="A568" s="64" t="s">
        <v>154</v>
      </c>
      <c r="B568" s="16" t="s">
        <v>598</v>
      </c>
      <c r="C568" s="16" t="s">
        <v>598</v>
      </c>
      <c r="D568" s="16" t="s">
        <v>75</v>
      </c>
      <c r="E568" s="16"/>
      <c r="F568" s="32">
        <f>F569</f>
        <v>500</v>
      </c>
      <c r="G568" s="135">
        <f>G569</f>
        <v>0</v>
      </c>
      <c r="H568" s="135">
        <f t="shared" si="32"/>
        <v>0</v>
      </c>
    </row>
    <row r="569" spans="1:8" s="24" customFormat="1" x14ac:dyDescent="0.2">
      <c r="A569" s="68" t="s">
        <v>191</v>
      </c>
      <c r="B569" s="22" t="s">
        <v>598</v>
      </c>
      <c r="C569" s="22" t="s">
        <v>598</v>
      </c>
      <c r="D569" s="22" t="s">
        <v>75</v>
      </c>
      <c r="E569" s="22" t="s">
        <v>522</v>
      </c>
      <c r="F569" s="31">
        <f>F570</f>
        <v>500</v>
      </c>
      <c r="G569" s="133">
        <f>G570</f>
        <v>0</v>
      </c>
      <c r="H569" s="133">
        <f t="shared" si="32"/>
        <v>0</v>
      </c>
    </row>
    <row r="570" spans="1:8" s="24" customFormat="1" x14ac:dyDescent="0.2">
      <c r="A570" s="116" t="s">
        <v>220</v>
      </c>
      <c r="B570" s="22" t="s">
        <v>598</v>
      </c>
      <c r="C570" s="22" t="s">
        <v>598</v>
      </c>
      <c r="D570" s="22" t="s">
        <v>75</v>
      </c>
      <c r="E570" s="22" t="s">
        <v>582</v>
      </c>
      <c r="F570" s="31">
        <v>500</v>
      </c>
      <c r="G570" s="133">
        <v>0</v>
      </c>
      <c r="H570" s="133">
        <f t="shared" si="32"/>
        <v>0</v>
      </c>
    </row>
    <row r="571" spans="1:8" s="24" customFormat="1" ht="27" x14ac:dyDescent="0.2">
      <c r="A571" s="70" t="s">
        <v>67</v>
      </c>
      <c r="B571" s="43" t="s">
        <v>598</v>
      </c>
      <c r="C571" s="43" t="s">
        <v>598</v>
      </c>
      <c r="D571" s="43" t="s">
        <v>129</v>
      </c>
      <c r="E571" s="22"/>
      <c r="F571" s="32">
        <f t="shared" ref="F571:G574" si="33">F572</f>
        <v>3000</v>
      </c>
      <c r="G571" s="32">
        <f t="shared" si="33"/>
        <v>2606.3000000000002</v>
      </c>
      <c r="H571" s="32">
        <f t="shared" si="32"/>
        <v>86.876666666666665</v>
      </c>
    </row>
    <row r="572" spans="1:8" s="24" customFormat="1" x14ac:dyDescent="0.2">
      <c r="A572" s="61" t="s">
        <v>132</v>
      </c>
      <c r="B572" s="16" t="s">
        <v>598</v>
      </c>
      <c r="C572" s="16" t="s">
        <v>598</v>
      </c>
      <c r="D572" s="16" t="s">
        <v>133</v>
      </c>
      <c r="E572" s="16"/>
      <c r="F572" s="32">
        <f t="shared" si="33"/>
        <v>3000</v>
      </c>
      <c r="G572" s="32">
        <f t="shared" si="33"/>
        <v>2606.3000000000002</v>
      </c>
      <c r="H572" s="32">
        <f t="shared" si="32"/>
        <v>86.876666666666665</v>
      </c>
    </row>
    <row r="573" spans="1:8" s="24" customFormat="1" x14ac:dyDescent="0.2">
      <c r="A573" s="67" t="s">
        <v>450</v>
      </c>
      <c r="B573" s="17" t="s">
        <v>598</v>
      </c>
      <c r="C573" s="17" t="s">
        <v>598</v>
      </c>
      <c r="D573" s="17" t="s">
        <v>68</v>
      </c>
      <c r="E573" s="17"/>
      <c r="F573" s="35">
        <f t="shared" si="33"/>
        <v>3000</v>
      </c>
      <c r="G573" s="35">
        <f t="shared" si="33"/>
        <v>2606.3000000000002</v>
      </c>
      <c r="H573" s="35">
        <f t="shared" si="32"/>
        <v>86.876666666666665</v>
      </c>
    </row>
    <row r="574" spans="1:8" s="24" customFormat="1" x14ac:dyDescent="0.2">
      <c r="A574" s="68" t="s">
        <v>378</v>
      </c>
      <c r="B574" s="22" t="s">
        <v>598</v>
      </c>
      <c r="C574" s="22" t="s">
        <v>598</v>
      </c>
      <c r="D574" s="22" t="s">
        <v>68</v>
      </c>
      <c r="E574" s="22" t="s">
        <v>175</v>
      </c>
      <c r="F574" s="31">
        <f t="shared" si="33"/>
        <v>3000</v>
      </c>
      <c r="G574" s="31">
        <f t="shared" si="33"/>
        <v>2606.3000000000002</v>
      </c>
      <c r="H574" s="31">
        <f t="shared" si="32"/>
        <v>86.876666666666665</v>
      </c>
    </row>
    <row r="575" spans="1:8" s="24" customFormat="1" x14ac:dyDescent="0.2">
      <c r="A575" s="68" t="s">
        <v>176</v>
      </c>
      <c r="B575" s="22" t="s">
        <v>598</v>
      </c>
      <c r="C575" s="22" t="s">
        <v>598</v>
      </c>
      <c r="D575" s="22" t="s">
        <v>68</v>
      </c>
      <c r="E575" s="22" t="s">
        <v>177</v>
      </c>
      <c r="F575" s="31">
        <v>3000</v>
      </c>
      <c r="G575" s="31">
        <v>2606.3000000000002</v>
      </c>
      <c r="H575" s="31">
        <f t="shared" si="32"/>
        <v>86.876666666666665</v>
      </c>
    </row>
    <row r="576" spans="1:8" s="24" customFormat="1" x14ac:dyDescent="0.2">
      <c r="A576" s="65" t="s">
        <v>163</v>
      </c>
      <c r="B576" s="17" t="s">
        <v>598</v>
      </c>
      <c r="C576" s="17" t="s">
        <v>598</v>
      </c>
      <c r="D576" s="17" t="s">
        <v>293</v>
      </c>
      <c r="E576" s="17"/>
      <c r="F576" s="35">
        <f>F577</f>
        <v>750</v>
      </c>
      <c r="G576" s="35">
        <f>G577</f>
        <v>656.66100000000006</v>
      </c>
      <c r="H576" s="35">
        <f t="shared" si="32"/>
        <v>87.554800000000014</v>
      </c>
    </row>
    <row r="577" spans="1:8" s="24" customFormat="1" x14ac:dyDescent="0.2">
      <c r="A577" s="66" t="s">
        <v>381</v>
      </c>
      <c r="B577" s="16" t="s">
        <v>598</v>
      </c>
      <c r="C577" s="16" t="s">
        <v>598</v>
      </c>
      <c r="D577" s="16" t="s">
        <v>294</v>
      </c>
      <c r="E577" s="16"/>
      <c r="F577" s="32">
        <f>F578</f>
        <v>750</v>
      </c>
      <c r="G577" s="32">
        <f>G578</f>
        <v>656.66100000000006</v>
      </c>
      <c r="H577" s="32">
        <f t="shared" si="32"/>
        <v>87.554800000000014</v>
      </c>
    </row>
    <row r="578" spans="1:8" s="24" customFormat="1" x14ac:dyDescent="0.2">
      <c r="A578" s="65" t="s">
        <v>410</v>
      </c>
      <c r="B578" s="17" t="s">
        <v>598</v>
      </c>
      <c r="C578" s="17" t="s">
        <v>598</v>
      </c>
      <c r="D578" s="17" t="s">
        <v>28</v>
      </c>
      <c r="E578" s="17"/>
      <c r="F578" s="35">
        <f>F579+F581</f>
        <v>750</v>
      </c>
      <c r="G578" s="35">
        <f>G579+G581</f>
        <v>656.66100000000006</v>
      </c>
      <c r="H578" s="35">
        <f t="shared" si="32"/>
        <v>87.554800000000014</v>
      </c>
    </row>
    <row r="579" spans="1:8" s="24" customFormat="1" x14ac:dyDescent="0.2">
      <c r="A579" s="68" t="s">
        <v>378</v>
      </c>
      <c r="B579" s="22" t="s">
        <v>598</v>
      </c>
      <c r="C579" s="22" t="s">
        <v>598</v>
      </c>
      <c r="D579" s="22" t="s">
        <v>28</v>
      </c>
      <c r="E579" s="22" t="s">
        <v>175</v>
      </c>
      <c r="F579" s="31">
        <f>F580</f>
        <v>297</v>
      </c>
      <c r="G579" s="31">
        <f>G580</f>
        <v>296.99900000000002</v>
      </c>
      <c r="H579" s="31">
        <f t="shared" si="32"/>
        <v>99.999663299663311</v>
      </c>
    </row>
    <row r="580" spans="1:8" s="24" customFormat="1" x14ac:dyDescent="0.2">
      <c r="A580" s="68" t="s">
        <v>176</v>
      </c>
      <c r="B580" s="22" t="s">
        <v>598</v>
      </c>
      <c r="C580" s="22" t="s">
        <v>598</v>
      </c>
      <c r="D580" s="22" t="s">
        <v>28</v>
      </c>
      <c r="E580" s="22" t="s">
        <v>177</v>
      </c>
      <c r="F580" s="31">
        <v>297</v>
      </c>
      <c r="G580" s="31">
        <v>296.99900000000002</v>
      </c>
      <c r="H580" s="31">
        <f t="shared" si="32"/>
        <v>99.999663299663311</v>
      </c>
    </row>
    <row r="581" spans="1:8" s="24" customFormat="1" x14ac:dyDescent="0.2">
      <c r="A581" s="68" t="s">
        <v>191</v>
      </c>
      <c r="B581" s="22" t="s">
        <v>598</v>
      </c>
      <c r="C581" s="22" t="s">
        <v>598</v>
      </c>
      <c r="D581" s="22" t="s">
        <v>28</v>
      </c>
      <c r="E581" s="22" t="s">
        <v>522</v>
      </c>
      <c r="F581" s="31">
        <f>F582</f>
        <v>453</v>
      </c>
      <c r="G581" s="31">
        <f>G582</f>
        <v>359.66199999999998</v>
      </c>
      <c r="H581" s="31">
        <f t="shared" si="32"/>
        <v>79.395584988962469</v>
      </c>
    </row>
    <row r="582" spans="1:8" s="24" customFormat="1" x14ac:dyDescent="0.2">
      <c r="A582" s="68" t="s">
        <v>192</v>
      </c>
      <c r="B582" s="22" t="s">
        <v>598</v>
      </c>
      <c r="C582" s="22" t="s">
        <v>598</v>
      </c>
      <c r="D582" s="22" t="s">
        <v>28</v>
      </c>
      <c r="E582" s="22" t="s">
        <v>536</v>
      </c>
      <c r="F582" s="31">
        <v>453</v>
      </c>
      <c r="G582" s="31">
        <v>359.66199999999998</v>
      </c>
      <c r="H582" s="31">
        <f t="shared" si="32"/>
        <v>79.395584988962469</v>
      </c>
    </row>
    <row r="583" spans="1:8" s="24" customFormat="1" x14ac:dyDescent="0.2">
      <c r="A583" s="64" t="s">
        <v>497</v>
      </c>
      <c r="B583" s="16" t="s">
        <v>598</v>
      </c>
      <c r="C583" s="16" t="s">
        <v>592</v>
      </c>
      <c r="D583" s="16"/>
      <c r="E583" s="22"/>
      <c r="F583" s="32">
        <f>F584+F626+F639</f>
        <v>195158.64499999999</v>
      </c>
      <c r="G583" s="32">
        <f>G584+G626+G639</f>
        <v>166623.041</v>
      </c>
      <c r="H583" s="32">
        <f t="shared" si="32"/>
        <v>85.378252651836149</v>
      </c>
    </row>
    <row r="584" spans="1:8" s="24" customFormat="1" ht="27" x14ac:dyDescent="0.2">
      <c r="A584" s="70" t="s">
        <v>602</v>
      </c>
      <c r="B584" s="43" t="s">
        <v>598</v>
      </c>
      <c r="C584" s="43" t="s">
        <v>592</v>
      </c>
      <c r="D584" s="43" t="s">
        <v>240</v>
      </c>
      <c r="E584" s="22"/>
      <c r="F584" s="47">
        <f>F585+F594+F615</f>
        <v>122518</v>
      </c>
      <c r="G584" s="47">
        <f>G585+G594+G615</f>
        <v>94022.76400000001</v>
      </c>
      <c r="H584" s="47">
        <f t="shared" si="32"/>
        <v>76.742000359130913</v>
      </c>
    </row>
    <row r="585" spans="1:8" s="24" customFormat="1" x14ac:dyDescent="0.2">
      <c r="A585" s="64" t="s">
        <v>354</v>
      </c>
      <c r="B585" s="16" t="s">
        <v>598</v>
      </c>
      <c r="C585" s="16" t="s">
        <v>592</v>
      </c>
      <c r="D585" s="16" t="s">
        <v>241</v>
      </c>
      <c r="E585" s="16"/>
      <c r="F585" s="32">
        <f>F586+F590</f>
        <v>107172</v>
      </c>
      <c r="G585" s="32">
        <f>G586+G590</f>
        <v>79538.122000000003</v>
      </c>
      <c r="H585" s="32">
        <f t="shared" si="32"/>
        <v>74.215393946179972</v>
      </c>
    </row>
    <row r="586" spans="1:8" s="24" customFormat="1" x14ac:dyDescent="0.2">
      <c r="A586" s="67" t="s">
        <v>361</v>
      </c>
      <c r="B586" s="17" t="s">
        <v>598</v>
      </c>
      <c r="C586" s="17" t="s">
        <v>592</v>
      </c>
      <c r="D586" s="17" t="s">
        <v>360</v>
      </c>
      <c r="E586" s="17"/>
      <c r="F586" s="35">
        <f>F587</f>
        <v>10000</v>
      </c>
      <c r="G586" s="35">
        <f>G587</f>
        <v>9274.2060000000001</v>
      </c>
      <c r="H586" s="35">
        <f t="shared" si="32"/>
        <v>92.742060000000009</v>
      </c>
    </row>
    <row r="587" spans="1:8" s="24" customFormat="1" x14ac:dyDescent="0.2">
      <c r="A587" s="68" t="s">
        <v>191</v>
      </c>
      <c r="B587" s="22" t="s">
        <v>598</v>
      </c>
      <c r="C587" s="22" t="s">
        <v>592</v>
      </c>
      <c r="D587" s="22" t="s">
        <v>608</v>
      </c>
      <c r="E587" s="22" t="s">
        <v>522</v>
      </c>
      <c r="F587" s="31">
        <f>F588+F589</f>
        <v>10000</v>
      </c>
      <c r="G587" s="31">
        <f>G588+G589</f>
        <v>9274.2060000000001</v>
      </c>
      <c r="H587" s="31">
        <f t="shared" si="32"/>
        <v>92.742060000000009</v>
      </c>
    </row>
    <row r="588" spans="1:8" s="24" customFormat="1" x14ac:dyDescent="0.2">
      <c r="A588" s="68" t="s">
        <v>192</v>
      </c>
      <c r="B588" s="22" t="s">
        <v>598</v>
      </c>
      <c r="C588" s="22" t="s">
        <v>592</v>
      </c>
      <c r="D588" s="22" t="s">
        <v>608</v>
      </c>
      <c r="E588" s="22" t="s">
        <v>536</v>
      </c>
      <c r="F588" s="31">
        <v>9800</v>
      </c>
      <c r="G588" s="31">
        <v>9074.2060000000001</v>
      </c>
      <c r="H588" s="31">
        <f t="shared" si="32"/>
        <v>92.59393877551021</v>
      </c>
    </row>
    <row r="589" spans="1:8" s="24" customFormat="1" x14ac:dyDescent="0.2">
      <c r="A589" s="68" t="s">
        <v>89</v>
      </c>
      <c r="B589" s="22" t="s">
        <v>598</v>
      </c>
      <c r="C589" s="22" t="s">
        <v>592</v>
      </c>
      <c r="D589" s="22" t="s">
        <v>608</v>
      </c>
      <c r="E589" s="22" t="s">
        <v>90</v>
      </c>
      <c r="F589" s="31">
        <v>200</v>
      </c>
      <c r="G589" s="31">
        <v>200</v>
      </c>
      <c r="H589" s="31">
        <f t="shared" si="32"/>
        <v>100</v>
      </c>
    </row>
    <row r="590" spans="1:8" s="24" customFormat="1" x14ac:dyDescent="0.2">
      <c r="A590" s="67" t="s">
        <v>364</v>
      </c>
      <c r="B590" s="25" t="s">
        <v>598</v>
      </c>
      <c r="C590" s="25" t="s">
        <v>592</v>
      </c>
      <c r="D590" s="17" t="s">
        <v>362</v>
      </c>
      <c r="E590" s="17"/>
      <c r="F590" s="35">
        <f>F591</f>
        <v>97172</v>
      </c>
      <c r="G590" s="35">
        <f>G591</f>
        <v>70263.915999999997</v>
      </c>
      <c r="H590" s="35">
        <f t="shared" si="32"/>
        <v>72.30880912196929</v>
      </c>
    </row>
    <row r="591" spans="1:8" s="24" customFormat="1" x14ac:dyDescent="0.2">
      <c r="A591" s="68" t="s">
        <v>191</v>
      </c>
      <c r="B591" s="22" t="s">
        <v>598</v>
      </c>
      <c r="C591" s="22" t="s">
        <v>592</v>
      </c>
      <c r="D591" s="22" t="s">
        <v>609</v>
      </c>
      <c r="E591" s="22" t="s">
        <v>522</v>
      </c>
      <c r="F591" s="31">
        <f>F592+F593</f>
        <v>97172</v>
      </c>
      <c r="G591" s="31">
        <f>G592+G593</f>
        <v>70263.915999999997</v>
      </c>
      <c r="H591" s="31">
        <f t="shared" si="32"/>
        <v>72.30880912196929</v>
      </c>
    </row>
    <row r="592" spans="1:8" s="24" customFormat="1" x14ac:dyDescent="0.2">
      <c r="A592" s="68" t="s">
        <v>192</v>
      </c>
      <c r="B592" s="22" t="s">
        <v>598</v>
      </c>
      <c r="C592" s="22" t="s">
        <v>592</v>
      </c>
      <c r="D592" s="22" t="s">
        <v>609</v>
      </c>
      <c r="E592" s="22" t="s">
        <v>536</v>
      </c>
      <c r="F592" s="31">
        <f>95308.55-2388.5-3885-4.7</f>
        <v>89030.35</v>
      </c>
      <c r="G592" s="31">
        <v>65262.508000000002</v>
      </c>
      <c r="H592" s="31">
        <f t="shared" si="32"/>
        <v>73.303663301334879</v>
      </c>
    </row>
    <row r="593" spans="1:8" s="24" customFormat="1" x14ac:dyDescent="0.2">
      <c r="A593" s="68" t="s">
        <v>89</v>
      </c>
      <c r="B593" s="22" t="s">
        <v>598</v>
      </c>
      <c r="C593" s="22" t="s">
        <v>592</v>
      </c>
      <c r="D593" s="22" t="s">
        <v>609</v>
      </c>
      <c r="E593" s="22" t="s">
        <v>90</v>
      </c>
      <c r="F593" s="31">
        <f>6028.45+2388.5-280+4.7</f>
        <v>8141.6500000000005</v>
      </c>
      <c r="G593" s="31">
        <v>5001.4080000000004</v>
      </c>
      <c r="H593" s="31">
        <f t="shared" si="32"/>
        <v>61.429906714240964</v>
      </c>
    </row>
    <row r="594" spans="1:8" s="24" customFormat="1" x14ac:dyDescent="0.2">
      <c r="A594" s="64" t="s">
        <v>578</v>
      </c>
      <c r="B594" s="16" t="s">
        <v>598</v>
      </c>
      <c r="C594" s="16" t="s">
        <v>592</v>
      </c>
      <c r="D594" s="16" t="s">
        <v>248</v>
      </c>
      <c r="E594" s="16"/>
      <c r="F594" s="32">
        <f>F595+F603+F608</f>
        <v>6120</v>
      </c>
      <c r="G594" s="32">
        <f>G595+G603+G608</f>
        <v>5371.7630000000008</v>
      </c>
      <c r="H594" s="32">
        <f t="shared" si="32"/>
        <v>87.773905228758181</v>
      </c>
    </row>
    <row r="595" spans="1:8" s="24" customFormat="1" ht="25.5" x14ac:dyDescent="0.2">
      <c r="A595" s="56" t="s">
        <v>251</v>
      </c>
      <c r="B595" s="16" t="s">
        <v>598</v>
      </c>
      <c r="C595" s="16" t="s">
        <v>592</v>
      </c>
      <c r="D595" s="16" t="s">
        <v>219</v>
      </c>
      <c r="E595" s="17"/>
      <c r="F595" s="32">
        <f>F596</f>
        <v>3935</v>
      </c>
      <c r="G595" s="32">
        <f>G596</f>
        <v>3930</v>
      </c>
      <c r="H595" s="32">
        <f t="shared" si="32"/>
        <v>99.872935196950436</v>
      </c>
    </row>
    <row r="596" spans="1:8" s="24" customFormat="1" x14ac:dyDescent="0.2">
      <c r="A596" s="69" t="s">
        <v>593</v>
      </c>
      <c r="B596" s="25" t="s">
        <v>598</v>
      </c>
      <c r="C596" s="25" t="s">
        <v>592</v>
      </c>
      <c r="D596" s="25" t="s">
        <v>610</v>
      </c>
      <c r="E596" s="25"/>
      <c r="F596" s="85">
        <f>F597+F599+F601</f>
        <v>3935</v>
      </c>
      <c r="G596" s="85">
        <f>G597+G599+G601</f>
        <v>3930</v>
      </c>
      <c r="H596" s="85">
        <f t="shared" si="32"/>
        <v>99.872935196950436</v>
      </c>
    </row>
    <row r="597" spans="1:8" s="24" customFormat="1" ht="24" x14ac:dyDescent="0.2">
      <c r="A597" s="68" t="s">
        <v>168</v>
      </c>
      <c r="B597" s="22" t="s">
        <v>598</v>
      </c>
      <c r="C597" s="22" t="s">
        <v>592</v>
      </c>
      <c r="D597" s="22" t="s">
        <v>610</v>
      </c>
      <c r="E597" s="22" t="s">
        <v>169</v>
      </c>
      <c r="F597" s="31">
        <f>F598</f>
        <v>3926.2</v>
      </c>
      <c r="G597" s="31">
        <f>G598</f>
        <v>3926.2</v>
      </c>
      <c r="H597" s="31">
        <f t="shared" si="32"/>
        <v>100</v>
      </c>
    </row>
    <row r="598" spans="1:8" s="24" customFormat="1" x14ac:dyDescent="0.2">
      <c r="A598" s="68" t="s">
        <v>594</v>
      </c>
      <c r="B598" s="22" t="s">
        <v>598</v>
      </c>
      <c r="C598" s="22" t="s">
        <v>592</v>
      </c>
      <c r="D598" s="22" t="s">
        <v>610</v>
      </c>
      <c r="E598" s="22" t="s">
        <v>595</v>
      </c>
      <c r="F598" s="31">
        <f>2765+835+150+176.2</f>
        <v>3926.2</v>
      </c>
      <c r="G598" s="31">
        <v>3926.2</v>
      </c>
      <c r="H598" s="31">
        <f t="shared" si="32"/>
        <v>100</v>
      </c>
    </row>
    <row r="599" spans="1:8" s="24" customFormat="1" x14ac:dyDescent="0.2">
      <c r="A599" s="68" t="s">
        <v>378</v>
      </c>
      <c r="B599" s="22" t="s">
        <v>598</v>
      </c>
      <c r="C599" s="22" t="s">
        <v>592</v>
      </c>
      <c r="D599" s="22" t="s">
        <v>610</v>
      </c>
      <c r="E599" s="22" t="s">
        <v>175</v>
      </c>
      <c r="F599" s="31">
        <f>F600</f>
        <v>3.8000000000000114</v>
      </c>
      <c r="G599" s="31">
        <f>G600</f>
        <v>3.8</v>
      </c>
      <c r="H599" s="31">
        <f t="shared" si="32"/>
        <v>99.999999999999702</v>
      </c>
    </row>
    <row r="600" spans="1:8" s="24" customFormat="1" x14ac:dyDescent="0.2">
      <c r="A600" s="68" t="s">
        <v>176</v>
      </c>
      <c r="B600" s="22" t="s">
        <v>598</v>
      </c>
      <c r="C600" s="22" t="s">
        <v>592</v>
      </c>
      <c r="D600" s="22" t="s">
        <v>610</v>
      </c>
      <c r="E600" s="22" t="s">
        <v>177</v>
      </c>
      <c r="F600" s="31">
        <f>180-176.2</f>
        <v>3.8000000000000114</v>
      </c>
      <c r="G600" s="31">
        <v>3.8</v>
      </c>
      <c r="H600" s="31">
        <f t="shared" si="32"/>
        <v>99.999999999999702</v>
      </c>
    </row>
    <row r="601" spans="1:8" s="24" customFormat="1" x14ac:dyDescent="0.2">
      <c r="A601" s="68" t="s">
        <v>178</v>
      </c>
      <c r="B601" s="22" t="s">
        <v>598</v>
      </c>
      <c r="C601" s="22" t="s">
        <v>592</v>
      </c>
      <c r="D601" s="22" t="s">
        <v>610</v>
      </c>
      <c r="E601" s="22" t="s">
        <v>179</v>
      </c>
      <c r="F601" s="87">
        <f>F602</f>
        <v>5</v>
      </c>
      <c r="G601" s="134">
        <f>G602</f>
        <v>0</v>
      </c>
      <c r="H601" s="133">
        <f t="shared" si="32"/>
        <v>0</v>
      </c>
    </row>
    <row r="602" spans="1:8" s="24" customFormat="1" x14ac:dyDescent="0.2">
      <c r="A602" s="68" t="s">
        <v>233</v>
      </c>
      <c r="B602" s="22" t="s">
        <v>598</v>
      </c>
      <c r="C602" s="22" t="s">
        <v>592</v>
      </c>
      <c r="D602" s="22" t="s">
        <v>610</v>
      </c>
      <c r="E602" s="22" t="s">
        <v>180</v>
      </c>
      <c r="F602" s="87">
        <v>5</v>
      </c>
      <c r="G602" s="134">
        <v>0</v>
      </c>
      <c r="H602" s="133">
        <f t="shared" si="32"/>
        <v>0</v>
      </c>
    </row>
    <row r="603" spans="1:8" s="24" customFormat="1" ht="24" x14ac:dyDescent="0.2">
      <c r="A603" s="101" t="s">
        <v>365</v>
      </c>
      <c r="B603" s="17" t="s">
        <v>598</v>
      </c>
      <c r="C603" s="17" t="s">
        <v>592</v>
      </c>
      <c r="D603" s="17" t="s">
        <v>611</v>
      </c>
      <c r="E603" s="17"/>
      <c r="F603" s="35">
        <f>F604+F606</f>
        <v>1635</v>
      </c>
      <c r="G603" s="35">
        <f>G604+G606</f>
        <v>1140.8679999999999</v>
      </c>
      <c r="H603" s="35">
        <f t="shared" si="32"/>
        <v>69.777859327217115</v>
      </c>
    </row>
    <row r="604" spans="1:8" s="24" customFormat="1" ht="24" x14ac:dyDescent="0.2">
      <c r="A604" s="68" t="s">
        <v>168</v>
      </c>
      <c r="B604" s="22" t="s">
        <v>598</v>
      </c>
      <c r="C604" s="22" t="s">
        <v>592</v>
      </c>
      <c r="D604" s="22" t="s">
        <v>611</v>
      </c>
      <c r="E604" s="22" t="s">
        <v>169</v>
      </c>
      <c r="F604" s="31">
        <f>F605</f>
        <v>405</v>
      </c>
      <c r="G604" s="31">
        <f>G605</f>
        <v>402.42599999999999</v>
      </c>
      <c r="H604" s="31">
        <f t="shared" si="32"/>
        <v>99.364444444444445</v>
      </c>
    </row>
    <row r="605" spans="1:8" s="24" customFormat="1" x14ac:dyDescent="0.2">
      <c r="A605" s="68" t="s">
        <v>594</v>
      </c>
      <c r="B605" s="22" t="s">
        <v>598</v>
      </c>
      <c r="C605" s="22" t="s">
        <v>592</v>
      </c>
      <c r="D605" s="22" t="s">
        <v>611</v>
      </c>
      <c r="E605" s="22" t="s">
        <v>595</v>
      </c>
      <c r="F605" s="31">
        <f>250+75+80</f>
        <v>405</v>
      </c>
      <c r="G605" s="31">
        <v>402.42599999999999</v>
      </c>
      <c r="H605" s="31">
        <f t="shared" si="32"/>
        <v>99.364444444444445</v>
      </c>
    </row>
    <row r="606" spans="1:8" s="24" customFormat="1" x14ac:dyDescent="0.2">
      <c r="A606" s="68" t="s">
        <v>378</v>
      </c>
      <c r="B606" s="22" t="s">
        <v>598</v>
      </c>
      <c r="C606" s="22" t="s">
        <v>592</v>
      </c>
      <c r="D606" s="22" t="s">
        <v>611</v>
      </c>
      <c r="E606" s="22" t="s">
        <v>175</v>
      </c>
      <c r="F606" s="31">
        <f>F607</f>
        <v>1230</v>
      </c>
      <c r="G606" s="31">
        <f>G607</f>
        <v>738.44200000000001</v>
      </c>
      <c r="H606" s="31">
        <f t="shared" si="32"/>
        <v>60.035934959349589</v>
      </c>
    </row>
    <row r="607" spans="1:8" s="24" customFormat="1" x14ac:dyDescent="0.2">
      <c r="A607" s="68" t="s">
        <v>176</v>
      </c>
      <c r="B607" s="22" t="s">
        <v>598</v>
      </c>
      <c r="C607" s="22" t="s">
        <v>592</v>
      </c>
      <c r="D607" s="22" t="s">
        <v>611</v>
      </c>
      <c r="E607" s="22" t="s">
        <v>177</v>
      </c>
      <c r="F607" s="31">
        <f>1535-150-75-80</f>
        <v>1230</v>
      </c>
      <c r="G607" s="31">
        <v>738.44200000000001</v>
      </c>
      <c r="H607" s="31">
        <f t="shared" si="32"/>
        <v>60.035934959349589</v>
      </c>
    </row>
    <row r="608" spans="1:8" s="24" customFormat="1" ht="36" x14ac:dyDescent="0.2">
      <c r="A608" s="88" t="s">
        <v>576</v>
      </c>
      <c r="B608" s="25" t="s">
        <v>598</v>
      </c>
      <c r="C608" s="25" t="s">
        <v>592</v>
      </c>
      <c r="D608" s="25" t="s">
        <v>612</v>
      </c>
      <c r="E608" s="25"/>
      <c r="F608" s="85">
        <f>F609+F611+F613</f>
        <v>550</v>
      </c>
      <c r="G608" s="85">
        <f>G609+G611+G613</f>
        <v>300.89499999999998</v>
      </c>
      <c r="H608" s="85">
        <f t="shared" si="32"/>
        <v>54.708181818181814</v>
      </c>
    </row>
    <row r="609" spans="1:8" s="24" customFormat="1" ht="24" x14ac:dyDescent="0.2">
      <c r="A609" s="68" t="s">
        <v>168</v>
      </c>
      <c r="B609" s="22" t="s">
        <v>598</v>
      </c>
      <c r="C609" s="22" t="s">
        <v>592</v>
      </c>
      <c r="D609" s="22" t="s">
        <v>612</v>
      </c>
      <c r="E609" s="22" t="s">
        <v>169</v>
      </c>
      <c r="F609" s="31">
        <f>F610</f>
        <v>204.8</v>
      </c>
      <c r="G609" s="31">
        <f>G610</f>
        <v>48.07</v>
      </c>
      <c r="H609" s="31">
        <f t="shared" si="32"/>
        <v>23.4716796875</v>
      </c>
    </row>
    <row r="610" spans="1:8" s="24" customFormat="1" x14ac:dyDescent="0.2">
      <c r="A610" s="68" t="s">
        <v>594</v>
      </c>
      <c r="B610" s="22" t="s">
        <v>598</v>
      </c>
      <c r="C610" s="22" t="s">
        <v>592</v>
      </c>
      <c r="D610" s="22" t="s">
        <v>612</v>
      </c>
      <c r="E610" s="22" t="s">
        <v>595</v>
      </c>
      <c r="F610" s="31">
        <f>250-45.2</f>
        <v>204.8</v>
      </c>
      <c r="G610" s="31">
        <v>48.07</v>
      </c>
      <c r="H610" s="31">
        <f t="shared" si="32"/>
        <v>23.4716796875</v>
      </c>
    </row>
    <row r="611" spans="1:8" s="24" customFormat="1" x14ac:dyDescent="0.2">
      <c r="A611" s="68" t="s">
        <v>378</v>
      </c>
      <c r="B611" s="22" t="s">
        <v>598</v>
      </c>
      <c r="C611" s="22" t="s">
        <v>592</v>
      </c>
      <c r="D611" s="22" t="s">
        <v>612</v>
      </c>
      <c r="E611" s="22" t="s">
        <v>175</v>
      </c>
      <c r="F611" s="31">
        <f>F612</f>
        <v>204.88</v>
      </c>
      <c r="G611" s="31">
        <f>G612</f>
        <v>112.505</v>
      </c>
      <c r="H611" s="31">
        <f t="shared" si="32"/>
        <v>54.912631784459201</v>
      </c>
    </row>
    <row r="612" spans="1:8" s="24" customFormat="1" x14ac:dyDescent="0.2">
      <c r="A612" s="68" t="s">
        <v>176</v>
      </c>
      <c r="B612" s="22" t="s">
        <v>598</v>
      </c>
      <c r="C612" s="22" t="s">
        <v>592</v>
      </c>
      <c r="D612" s="22" t="s">
        <v>612</v>
      </c>
      <c r="E612" s="22" t="s">
        <v>177</v>
      </c>
      <c r="F612" s="31">
        <f>300-95.12</f>
        <v>204.88</v>
      </c>
      <c r="G612" s="31">
        <v>112.505</v>
      </c>
      <c r="H612" s="31">
        <f t="shared" si="32"/>
        <v>54.912631784459201</v>
      </c>
    </row>
    <row r="613" spans="1:8" s="24" customFormat="1" x14ac:dyDescent="0.2">
      <c r="A613" s="68" t="s">
        <v>186</v>
      </c>
      <c r="B613" s="22" t="s">
        <v>598</v>
      </c>
      <c r="C613" s="22" t="s">
        <v>592</v>
      </c>
      <c r="D613" s="22" t="s">
        <v>612</v>
      </c>
      <c r="E613" s="22" t="s">
        <v>185</v>
      </c>
      <c r="F613" s="31">
        <f>F614</f>
        <v>140.32</v>
      </c>
      <c r="G613" s="31">
        <f>G614</f>
        <v>140.32</v>
      </c>
      <c r="H613" s="31">
        <f t="shared" si="32"/>
        <v>100</v>
      </c>
    </row>
    <row r="614" spans="1:8" s="24" customFormat="1" ht="24" x14ac:dyDescent="0.2">
      <c r="A614" s="68" t="s">
        <v>399</v>
      </c>
      <c r="B614" s="22" t="s">
        <v>598</v>
      </c>
      <c r="C614" s="22" t="s">
        <v>592</v>
      </c>
      <c r="D614" s="22" t="s">
        <v>612</v>
      </c>
      <c r="E614" s="22" t="s">
        <v>400</v>
      </c>
      <c r="F614" s="31">
        <f>95.12+45.2</f>
        <v>140.32</v>
      </c>
      <c r="G614" s="31">
        <v>140.32</v>
      </c>
      <c r="H614" s="31">
        <f t="shared" si="32"/>
        <v>100</v>
      </c>
    </row>
    <row r="615" spans="1:8" s="24" customFormat="1" ht="24" x14ac:dyDescent="0.2">
      <c r="A615" s="61" t="s">
        <v>401</v>
      </c>
      <c r="B615" s="16" t="s">
        <v>598</v>
      </c>
      <c r="C615" s="16" t="s">
        <v>592</v>
      </c>
      <c r="D615" s="16" t="s">
        <v>250</v>
      </c>
      <c r="E615" s="16"/>
      <c r="F615" s="32">
        <f>F616</f>
        <v>9226</v>
      </c>
      <c r="G615" s="32">
        <f>G616</f>
        <v>9112.8790000000008</v>
      </c>
      <c r="H615" s="32">
        <f t="shared" si="32"/>
        <v>98.773889009321493</v>
      </c>
    </row>
    <row r="616" spans="1:8" s="24" customFormat="1" x14ac:dyDescent="0.2">
      <c r="A616" s="56" t="s">
        <v>256</v>
      </c>
      <c r="B616" s="16" t="s">
        <v>598</v>
      </c>
      <c r="C616" s="16" t="s">
        <v>592</v>
      </c>
      <c r="D616" s="16" t="s">
        <v>250</v>
      </c>
      <c r="E616" s="16"/>
      <c r="F616" s="32">
        <f>F617</f>
        <v>9226</v>
      </c>
      <c r="G616" s="32">
        <f>G617</f>
        <v>9112.8790000000008</v>
      </c>
      <c r="H616" s="32">
        <f t="shared" si="32"/>
        <v>98.773889009321493</v>
      </c>
    </row>
    <row r="617" spans="1:8" s="24" customFormat="1" ht="24" x14ac:dyDescent="0.2">
      <c r="A617" s="67" t="s">
        <v>524</v>
      </c>
      <c r="B617" s="17" t="s">
        <v>598</v>
      </c>
      <c r="C617" s="17" t="s">
        <v>592</v>
      </c>
      <c r="D617" s="17" t="s">
        <v>250</v>
      </c>
      <c r="E617" s="17"/>
      <c r="F617" s="35">
        <f>F618+F621</f>
        <v>9226</v>
      </c>
      <c r="G617" s="35">
        <f>G618+G621</f>
        <v>9112.8790000000008</v>
      </c>
      <c r="H617" s="35">
        <f t="shared" si="32"/>
        <v>98.773889009321493</v>
      </c>
    </row>
    <row r="618" spans="1:8" s="24" customFormat="1" x14ac:dyDescent="0.2">
      <c r="A618" s="66" t="s">
        <v>505</v>
      </c>
      <c r="B618" s="16" t="s">
        <v>598</v>
      </c>
      <c r="C618" s="16" t="s">
        <v>592</v>
      </c>
      <c r="D618" s="16" t="s">
        <v>369</v>
      </c>
      <c r="E618" s="16"/>
      <c r="F618" s="32">
        <f>F619</f>
        <v>8728</v>
      </c>
      <c r="G618" s="32">
        <f>G619</f>
        <v>8614.8790000000008</v>
      </c>
      <c r="H618" s="32">
        <f t="shared" si="32"/>
        <v>98.703929880843276</v>
      </c>
    </row>
    <row r="619" spans="1:8" s="24" customFormat="1" ht="24" x14ac:dyDescent="0.2">
      <c r="A619" s="68" t="s">
        <v>168</v>
      </c>
      <c r="B619" s="22" t="s">
        <v>598</v>
      </c>
      <c r="C619" s="22" t="s">
        <v>592</v>
      </c>
      <c r="D619" s="22" t="s">
        <v>369</v>
      </c>
      <c r="E619" s="22" t="s">
        <v>169</v>
      </c>
      <c r="F619" s="31">
        <f>F620</f>
        <v>8728</v>
      </c>
      <c r="G619" s="31">
        <f>G620</f>
        <v>8614.8790000000008</v>
      </c>
      <c r="H619" s="31">
        <f t="shared" si="32"/>
        <v>98.703929880843276</v>
      </c>
    </row>
    <row r="620" spans="1:8" s="24" customFormat="1" x14ac:dyDescent="0.2">
      <c r="A620" s="68" t="s">
        <v>170</v>
      </c>
      <c r="B620" s="22" t="s">
        <v>598</v>
      </c>
      <c r="C620" s="22" t="s">
        <v>592</v>
      </c>
      <c r="D620" s="22" t="s">
        <v>369</v>
      </c>
      <c r="E620" s="22" t="s">
        <v>173</v>
      </c>
      <c r="F620" s="31">
        <f>7000+2114-386</f>
        <v>8728</v>
      </c>
      <c r="G620" s="31">
        <v>8614.8790000000008</v>
      </c>
      <c r="H620" s="31">
        <f t="shared" si="32"/>
        <v>98.703929880843276</v>
      </c>
    </row>
    <row r="621" spans="1:8" s="24" customFormat="1" x14ac:dyDescent="0.2">
      <c r="A621" s="64" t="s">
        <v>174</v>
      </c>
      <c r="B621" s="16" t="s">
        <v>598</v>
      </c>
      <c r="C621" s="16" t="s">
        <v>592</v>
      </c>
      <c r="D621" s="16" t="s">
        <v>370</v>
      </c>
      <c r="E621" s="16"/>
      <c r="F621" s="32">
        <f>F622+F624</f>
        <v>498</v>
      </c>
      <c r="G621" s="32">
        <f>G622+G624</f>
        <v>498</v>
      </c>
      <c r="H621" s="32">
        <f t="shared" si="32"/>
        <v>100</v>
      </c>
    </row>
    <row r="622" spans="1:8" s="24" customFormat="1" x14ac:dyDescent="0.2">
      <c r="A622" s="68" t="s">
        <v>378</v>
      </c>
      <c r="B622" s="22" t="s">
        <v>598</v>
      </c>
      <c r="C622" s="22" t="s">
        <v>592</v>
      </c>
      <c r="D622" s="22" t="s">
        <v>370</v>
      </c>
      <c r="E622" s="22" t="s">
        <v>175</v>
      </c>
      <c r="F622" s="31">
        <f>F623</f>
        <v>497</v>
      </c>
      <c r="G622" s="31">
        <f>G623</f>
        <v>497</v>
      </c>
      <c r="H622" s="31">
        <f t="shared" si="32"/>
        <v>100</v>
      </c>
    </row>
    <row r="623" spans="1:8" s="24" customFormat="1" x14ac:dyDescent="0.2">
      <c r="A623" s="68" t="s">
        <v>176</v>
      </c>
      <c r="B623" s="22" t="s">
        <v>598</v>
      </c>
      <c r="C623" s="22" t="s">
        <v>592</v>
      </c>
      <c r="D623" s="22" t="s">
        <v>370</v>
      </c>
      <c r="E623" s="22" t="s">
        <v>177</v>
      </c>
      <c r="F623" s="31">
        <v>497</v>
      </c>
      <c r="G623" s="31">
        <v>497</v>
      </c>
      <c r="H623" s="31">
        <f t="shared" si="32"/>
        <v>100</v>
      </c>
    </row>
    <row r="624" spans="1:8" s="24" customFormat="1" x14ac:dyDescent="0.2">
      <c r="A624" s="68" t="s">
        <v>178</v>
      </c>
      <c r="B624" s="22" t="s">
        <v>598</v>
      </c>
      <c r="C624" s="22" t="s">
        <v>592</v>
      </c>
      <c r="D624" s="22" t="s">
        <v>370</v>
      </c>
      <c r="E624" s="22" t="s">
        <v>179</v>
      </c>
      <c r="F624" s="31">
        <f>F625</f>
        <v>1</v>
      </c>
      <c r="G624" s="31">
        <f>G625</f>
        <v>1</v>
      </c>
      <c r="H624" s="31">
        <f t="shared" ref="H624:H684" si="34">G624/F624*100</f>
        <v>100</v>
      </c>
    </row>
    <row r="625" spans="1:8" s="24" customFormat="1" x14ac:dyDescent="0.2">
      <c r="A625" s="68" t="s">
        <v>87</v>
      </c>
      <c r="B625" s="22" t="s">
        <v>598</v>
      </c>
      <c r="C625" s="22" t="s">
        <v>592</v>
      </c>
      <c r="D625" s="22" t="s">
        <v>370</v>
      </c>
      <c r="E625" s="22" t="s">
        <v>180</v>
      </c>
      <c r="F625" s="31">
        <f>15-14</f>
        <v>1</v>
      </c>
      <c r="G625" s="31">
        <v>1</v>
      </c>
      <c r="H625" s="31">
        <f t="shared" si="34"/>
        <v>100</v>
      </c>
    </row>
    <row r="626" spans="1:8" s="24" customFormat="1" ht="27" x14ac:dyDescent="0.2">
      <c r="A626" s="70" t="s">
        <v>439</v>
      </c>
      <c r="B626" s="43" t="s">
        <v>598</v>
      </c>
      <c r="C626" s="43" t="s">
        <v>592</v>
      </c>
      <c r="D626" s="43" t="s">
        <v>353</v>
      </c>
      <c r="E626" s="43"/>
      <c r="F626" s="47">
        <f>F627+F630+F633+F636</f>
        <v>72481.731</v>
      </c>
      <c r="G626" s="47">
        <f>G627+G630+G633+G636</f>
        <v>72441.362999999998</v>
      </c>
      <c r="H626" s="47">
        <f t="shared" si="34"/>
        <v>99.944305965871592</v>
      </c>
    </row>
    <row r="627" spans="1:8" s="24" customFormat="1" x14ac:dyDescent="0.2">
      <c r="A627" s="61" t="s">
        <v>252</v>
      </c>
      <c r="B627" s="16" t="s">
        <v>598</v>
      </c>
      <c r="C627" s="16" t="s">
        <v>592</v>
      </c>
      <c r="D627" s="89" t="s">
        <v>6</v>
      </c>
      <c r="E627" s="16"/>
      <c r="F627" s="32">
        <f>F628</f>
        <v>46711.744999999995</v>
      </c>
      <c r="G627" s="32">
        <f>G628</f>
        <v>46671.521000000001</v>
      </c>
      <c r="H627" s="32">
        <f t="shared" si="34"/>
        <v>99.913888894538204</v>
      </c>
    </row>
    <row r="628" spans="1:8" s="24" customFormat="1" x14ac:dyDescent="0.2">
      <c r="A628" s="68" t="s">
        <v>378</v>
      </c>
      <c r="B628" s="22" t="s">
        <v>598</v>
      </c>
      <c r="C628" s="22" t="s">
        <v>592</v>
      </c>
      <c r="D628" s="80" t="s">
        <v>6</v>
      </c>
      <c r="E628" s="22" t="s">
        <v>175</v>
      </c>
      <c r="F628" s="31">
        <f>F629</f>
        <v>46711.744999999995</v>
      </c>
      <c r="G628" s="31">
        <f>G629</f>
        <v>46671.521000000001</v>
      </c>
      <c r="H628" s="31">
        <f t="shared" si="34"/>
        <v>99.913888894538204</v>
      </c>
    </row>
    <row r="629" spans="1:8" s="24" customFormat="1" x14ac:dyDescent="0.2">
      <c r="A629" s="68" t="s">
        <v>176</v>
      </c>
      <c r="B629" s="22" t="s">
        <v>598</v>
      </c>
      <c r="C629" s="22" t="s">
        <v>592</v>
      </c>
      <c r="D629" s="80" t="s">
        <v>6</v>
      </c>
      <c r="E629" s="22" t="s">
        <v>177</v>
      </c>
      <c r="F629" s="31">
        <f>39747.7+1200+2000+2500-300+1100+464.045</f>
        <v>46711.744999999995</v>
      </c>
      <c r="G629" s="31">
        <v>46671.521000000001</v>
      </c>
      <c r="H629" s="31">
        <f t="shared" si="34"/>
        <v>99.913888894538204</v>
      </c>
    </row>
    <row r="630" spans="1:8" s="24" customFormat="1" x14ac:dyDescent="0.2">
      <c r="A630" s="64" t="s">
        <v>449</v>
      </c>
      <c r="B630" s="16" t="s">
        <v>598</v>
      </c>
      <c r="C630" s="16" t="s">
        <v>592</v>
      </c>
      <c r="D630" s="89" t="s">
        <v>7</v>
      </c>
      <c r="E630" s="16"/>
      <c r="F630" s="32">
        <f>F631</f>
        <v>20969.986000000001</v>
      </c>
      <c r="G630" s="32">
        <f>G631</f>
        <v>20969.986000000001</v>
      </c>
      <c r="H630" s="32">
        <f t="shared" si="34"/>
        <v>100</v>
      </c>
    </row>
    <row r="631" spans="1:8" s="24" customFormat="1" x14ac:dyDescent="0.2">
      <c r="A631" s="68" t="s">
        <v>305</v>
      </c>
      <c r="B631" s="22" t="s">
        <v>598</v>
      </c>
      <c r="C631" s="22" t="s">
        <v>592</v>
      </c>
      <c r="D631" s="22" t="s">
        <v>7</v>
      </c>
      <c r="E631" s="22" t="s">
        <v>544</v>
      </c>
      <c r="F631" s="31">
        <f>F632</f>
        <v>20969.986000000001</v>
      </c>
      <c r="G631" s="31">
        <f>G632</f>
        <v>20969.986000000001</v>
      </c>
      <c r="H631" s="31">
        <f t="shared" si="34"/>
        <v>100</v>
      </c>
    </row>
    <row r="632" spans="1:8" s="24" customFormat="1" x14ac:dyDescent="0.2">
      <c r="A632" s="68" t="s">
        <v>545</v>
      </c>
      <c r="B632" s="22" t="s">
        <v>598</v>
      </c>
      <c r="C632" s="22" t="s">
        <v>592</v>
      </c>
      <c r="D632" s="22" t="s">
        <v>7</v>
      </c>
      <c r="E632" s="22" t="s">
        <v>546</v>
      </c>
      <c r="F632" s="31">
        <f>22645.2-1675.214</f>
        <v>20969.986000000001</v>
      </c>
      <c r="G632" s="31">
        <v>20969.986000000001</v>
      </c>
      <c r="H632" s="31">
        <f t="shared" si="34"/>
        <v>100</v>
      </c>
    </row>
    <row r="633" spans="1:8" s="24" customFormat="1" x14ac:dyDescent="0.2">
      <c r="A633" s="61" t="s">
        <v>217</v>
      </c>
      <c r="B633" s="16" t="s">
        <v>598</v>
      </c>
      <c r="C633" s="16" t="s">
        <v>592</v>
      </c>
      <c r="D633" s="89" t="s">
        <v>617</v>
      </c>
      <c r="E633" s="16"/>
      <c r="F633" s="95">
        <f>F634</f>
        <v>1300</v>
      </c>
      <c r="G633" s="95">
        <f>G634</f>
        <v>1299.856</v>
      </c>
      <c r="H633" s="32">
        <f t="shared" si="34"/>
        <v>99.988923076923072</v>
      </c>
    </row>
    <row r="634" spans="1:8" s="24" customFormat="1" x14ac:dyDescent="0.2">
      <c r="A634" s="68" t="s">
        <v>378</v>
      </c>
      <c r="B634" s="22" t="s">
        <v>598</v>
      </c>
      <c r="C634" s="22" t="s">
        <v>592</v>
      </c>
      <c r="D634" s="22" t="s">
        <v>617</v>
      </c>
      <c r="E634" s="22" t="s">
        <v>175</v>
      </c>
      <c r="F634" s="96">
        <f>F635</f>
        <v>1300</v>
      </c>
      <c r="G634" s="96">
        <f>G635</f>
        <v>1299.856</v>
      </c>
      <c r="H634" s="31">
        <f t="shared" si="34"/>
        <v>99.988923076923072</v>
      </c>
    </row>
    <row r="635" spans="1:8" s="24" customFormat="1" x14ac:dyDescent="0.2">
      <c r="A635" s="68" t="s">
        <v>176</v>
      </c>
      <c r="B635" s="22" t="s">
        <v>598</v>
      </c>
      <c r="C635" s="22" t="s">
        <v>592</v>
      </c>
      <c r="D635" s="22" t="s">
        <v>617</v>
      </c>
      <c r="E635" s="22" t="s">
        <v>177</v>
      </c>
      <c r="F635" s="96">
        <f>200+300+800</f>
        <v>1300</v>
      </c>
      <c r="G635" s="96">
        <v>1299.856</v>
      </c>
      <c r="H635" s="31">
        <f t="shared" si="34"/>
        <v>99.988923076923072</v>
      </c>
    </row>
    <row r="636" spans="1:8" s="24" customFormat="1" x14ac:dyDescent="0.2">
      <c r="A636" s="64" t="s">
        <v>307</v>
      </c>
      <c r="B636" s="16" t="s">
        <v>598</v>
      </c>
      <c r="C636" s="16" t="s">
        <v>592</v>
      </c>
      <c r="D636" s="16" t="s">
        <v>618</v>
      </c>
      <c r="E636" s="16"/>
      <c r="F636" s="32">
        <f>F637</f>
        <v>3500</v>
      </c>
      <c r="G636" s="32">
        <f>G637</f>
        <v>3500</v>
      </c>
      <c r="H636" s="32">
        <f t="shared" si="34"/>
        <v>100</v>
      </c>
    </row>
    <row r="637" spans="1:8" s="24" customFormat="1" x14ac:dyDescent="0.2">
      <c r="A637" s="68" t="s">
        <v>305</v>
      </c>
      <c r="B637" s="22" t="s">
        <v>598</v>
      </c>
      <c r="C637" s="22" t="s">
        <v>592</v>
      </c>
      <c r="D637" s="22" t="s">
        <v>618</v>
      </c>
      <c r="E637" s="42" t="s">
        <v>544</v>
      </c>
      <c r="F637" s="31">
        <f>F638</f>
        <v>3500</v>
      </c>
      <c r="G637" s="31">
        <f>G638</f>
        <v>3500</v>
      </c>
      <c r="H637" s="31">
        <f t="shared" si="34"/>
        <v>100</v>
      </c>
    </row>
    <row r="638" spans="1:8" s="24" customFormat="1" x14ac:dyDescent="0.2">
      <c r="A638" s="68" t="s">
        <v>545</v>
      </c>
      <c r="B638" s="22" t="s">
        <v>598</v>
      </c>
      <c r="C638" s="22" t="s">
        <v>592</v>
      </c>
      <c r="D638" s="22" t="s">
        <v>618</v>
      </c>
      <c r="E638" s="42" t="s">
        <v>546</v>
      </c>
      <c r="F638" s="31">
        <v>3500</v>
      </c>
      <c r="G638" s="31">
        <v>3500</v>
      </c>
      <c r="H638" s="31">
        <f t="shared" si="34"/>
        <v>100</v>
      </c>
    </row>
    <row r="639" spans="1:8" s="24" customFormat="1" x14ac:dyDescent="0.2">
      <c r="A639" s="65" t="s">
        <v>163</v>
      </c>
      <c r="B639" s="16" t="s">
        <v>598</v>
      </c>
      <c r="C639" s="16" t="s">
        <v>592</v>
      </c>
      <c r="D639" s="33" t="s">
        <v>293</v>
      </c>
      <c r="E639" s="16"/>
      <c r="F639" s="95">
        <f t="shared" ref="F639:G642" si="35">F640</f>
        <v>158.91399999999999</v>
      </c>
      <c r="G639" s="95">
        <f t="shared" si="35"/>
        <v>158.91399999999999</v>
      </c>
      <c r="H639" s="32">
        <f t="shared" si="34"/>
        <v>100</v>
      </c>
    </row>
    <row r="640" spans="1:8" s="24" customFormat="1" x14ac:dyDescent="0.2">
      <c r="A640" s="66" t="s">
        <v>381</v>
      </c>
      <c r="B640" s="16" t="s">
        <v>598</v>
      </c>
      <c r="C640" s="16" t="s">
        <v>592</v>
      </c>
      <c r="D640" s="33" t="s">
        <v>294</v>
      </c>
      <c r="E640" s="16"/>
      <c r="F640" s="95">
        <f t="shared" si="35"/>
        <v>158.91399999999999</v>
      </c>
      <c r="G640" s="95">
        <f t="shared" si="35"/>
        <v>158.91399999999999</v>
      </c>
      <c r="H640" s="32">
        <f t="shared" si="34"/>
        <v>100</v>
      </c>
    </row>
    <row r="641" spans="1:8" s="24" customFormat="1" ht="24" x14ac:dyDescent="0.2">
      <c r="A641" s="64" t="s">
        <v>632</v>
      </c>
      <c r="B641" s="16" t="s">
        <v>598</v>
      </c>
      <c r="C641" s="16" t="s">
        <v>592</v>
      </c>
      <c r="D641" s="16" t="s">
        <v>633</v>
      </c>
      <c r="E641" s="16"/>
      <c r="F641" s="32">
        <f t="shared" si="35"/>
        <v>158.91399999999999</v>
      </c>
      <c r="G641" s="32">
        <f t="shared" si="35"/>
        <v>158.91399999999999</v>
      </c>
      <c r="H641" s="32">
        <f t="shared" si="34"/>
        <v>100</v>
      </c>
    </row>
    <row r="642" spans="1:8" s="24" customFormat="1" ht="24" x14ac:dyDescent="0.2">
      <c r="A642" s="68" t="s">
        <v>168</v>
      </c>
      <c r="B642" s="22" t="s">
        <v>598</v>
      </c>
      <c r="C642" s="22" t="s">
        <v>592</v>
      </c>
      <c r="D642" s="22" t="s">
        <v>633</v>
      </c>
      <c r="E642" s="22" t="s">
        <v>169</v>
      </c>
      <c r="F642" s="31">
        <f t="shared" si="35"/>
        <v>158.91399999999999</v>
      </c>
      <c r="G642" s="31">
        <f t="shared" si="35"/>
        <v>158.91399999999999</v>
      </c>
      <c r="H642" s="31">
        <f t="shared" si="34"/>
        <v>100</v>
      </c>
    </row>
    <row r="643" spans="1:8" s="24" customFormat="1" x14ac:dyDescent="0.2">
      <c r="A643" s="68" t="s">
        <v>170</v>
      </c>
      <c r="B643" s="22" t="s">
        <v>598</v>
      </c>
      <c r="C643" s="22" t="s">
        <v>592</v>
      </c>
      <c r="D643" s="22" t="s">
        <v>633</v>
      </c>
      <c r="E643" s="22" t="s">
        <v>173</v>
      </c>
      <c r="F643" s="31">
        <v>158.91399999999999</v>
      </c>
      <c r="G643" s="31">
        <v>158.91399999999999</v>
      </c>
      <c r="H643" s="31">
        <f t="shared" si="34"/>
        <v>100</v>
      </c>
    </row>
    <row r="644" spans="1:8" s="24" customFormat="1" x14ac:dyDescent="0.2">
      <c r="A644" s="64" t="s">
        <v>509</v>
      </c>
      <c r="B644" s="16" t="s">
        <v>596</v>
      </c>
      <c r="C644" s="16" t="s">
        <v>166</v>
      </c>
      <c r="D644" s="16"/>
      <c r="E644" s="16"/>
      <c r="F644" s="32">
        <f>F645+F665</f>
        <v>126975.31941</v>
      </c>
      <c r="G644" s="32">
        <f>G645+G665</f>
        <v>124254.129</v>
      </c>
      <c r="H644" s="32">
        <f t="shared" si="34"/>
        <v>97.856913908431807</v>
      </c>
    </row>
    <row r="645" spans="1:8" s="24" customFormat="1" x14ac:dyDescent="0.2">
      <c r="A645" s="64" t="s">
        <v>498</v>
      </c>
      <c r="B645" s="16" t="s">
        <v>596</v>
      </c>
      <c r="C645" s="16" t="s">
        <v>165</v>
      </c>
      <c r="D645" s="16"/>
      <c r="E645" s="16"/>
      <c r="F645" s="32">
        <f>F646</f>
        <v>102237.41941</v>
      </c>
      <c r="G645" s="32">
        <f>G646</f>
        <v>100380.359</v>
      </c>
      <c r="H645" s="32">
        <f t="shared" si="34"/>
        <v>98.183580512187348</v>
      </c>
    </row>
    <row r="646" spans="1:8" s="24" customFormat="1" ht="27" x14ac:dyDescent="0.2">
      <c r="A646" s="70" t="s">
        <v>438</v>
      </c>
      <c r="B646" s="43" t="s">
        <v>596</v>
      </c>
      <c r="C646" s="43" t="s">
        <v>165</v>
      </c>
      <c r="D646" s="43" t="s">
        <v>337</v>
      </c>
      <c r="E646" s="43"/>
      <c r="F646" s="47">
        <f>F647</f>
        <v>102237.41941</v>
      </c>
      <c r="G646" s="47">
        <f>G647</f>
        <v>100380.359</v>
      </c>
      <c r="H646" s="47">
        <f t="shared" si="34"/>
        <v>98.183580512187348</v>
      </c>
    </row>
    <row r="647" spans="1:8" s="24" customFormat="1" x14ac:dyDescent="0.2">
      <c r="A647" s="64" t="s">
        <v>471</v>
      </c>
      <c r="B647" s="16" t="s">
        <v>596</v>
      </c>
      <c r="C647" s="16" t="s">
        <v>165</v>
      </c>
      <c r="D647" s="16" t="s">
        <v>338</v>
      </c>
      <c r="E647" s="16"/>
      <c r="F647" s="32">
        <f>F648+F652+F655+F659+F662</f>
        <v>102237.41941</v>
      </c>
      <c r="G647" s="32">
        <f>G648+G652+G655+G659+G662</f>
        <v>100380.359</v>
      </c>
      <c r="H647" s="32">
        <f t="shared" si="34"/>
        <v>98.183580512187348</v>
      </c>
    </row>
    <row r="648" spans="1:8" s="24" customFormat="1" ht="24" x14ac:dyDescent="0.2">
      <c r="A648" s="64" t="s">
        <v>371</v>
      </c>
      <c r="B648" s="16" t="s">
        <v>596</v>
      </c>
      <c r="C648" s="16" t="s">
        <v>165</v>
      </c>
      <c r="D648" s="16" t="s">
        <v>345</v>
      </c>
      <c r="E648" s="16"/>
      <c r="F648" s="32">
        <f t="shared" ref="F648:G650" si="36">F649</f>
        <v>32504.621319999998</v>
      </c>
      <c r="G648" s="32">
        <f t="shared" si="36"/>
        <v>31727.488000000001</v>
      </c>
      <c r="H648" s="32">
        <f t="shared" si="34"/>
        <v>97.609160517978935</v>
      </c>
    </row>
    <row r="649" spans="1:8" s="24" customFormat="1" x14ac:dyDescent="0.2">
      <c r="A649" s="69" t="s">
        <v>541</v>
      </c>
      <c r="B649" s="25" t="s">
        <v>596</v>
      </c>
      <c r="C649" s="25" t="s">
        <v>165</v>
      </c>
      <c r="D649" s="25" t="s">
        <v>76</v>
      </c>
      <c r="E649" s="25"/>
      <c r="F649" s="85">
        <f t="shared" si="36"/>
        <v>32504.621319999998</v>
      </c>
      <c r="G649" s="85">
        <f t="shared" si="36"/>
        <v>31727.488000000001</v>
      </c>
      <c r="H649" s="85">
        <f t="shared" si="34"/>
        <v>97.609160517978935</v>
      </c>
    </row>
    <row r="650" spans="1:8" s="24" customFormat="1" x14ac:dyDescent="0.2">
      <c r="A650" s="68" t="s">
        <v>191</v>
      </c>
      <c r="B650" s="22" t="s">
        <v>596</v>
      </c>
      <c r="C650" s="22" t="s">
        <v>165</v>
      </c>
      <c r="D650" s="22" t="s">
        <v>76</v>
      </c>
      <c r="E650" s="22" t="s">
        <v>522</v>
      </c>
      <c r="F650" s="31">
        <f t="shared" si="36"/>
        <v>32504.621319999998</v>
      </c>
      <c r="G650" s="31">
        <f t="shared" si="36"/>
        <v>31727.488000000001</v>
      </c>
      <c r="H650" s="31">
        <f t="shared" si="34"/>
        <v>97.609160517978935</v>
      </c>
    </row>
    <row r="651" spans="1:8" s="24" customFormat="1" x14ac:dyDescent="0.2">
      <c r="A651" s="68" t="s">
        <v>192</v>
      </c>
      <c r="B651" s="22" t="s">
        <v>596</v>
      </c>
      <c r="C651" s="22" t="s">
        <v>165</v>
      </c>
      <c r="D651" s="22" t="s">
        <v>76</v>
      </c>
      <c r="E651" s="22" t="s">
        <v>536</v>
      </c>
      <c r="F651" s="31">
        <f>11087.1+18417.52132+1300+100+1600</f>
        <v>32504.621319999998</v>
      </c>
      <c r="G651" s="31">
        <v>31727.488000000001</v>
      </c>
      <c r="H651" s="31">
        <f t="shared" si="34"/>
        <v>97.609160517978935</v>
      </c>
    </row>
    <row r="652" spans="1:8" s="24" customFormat="1" ht="24" x14ac:dyDescent="0.2">
      <c r="A652" s="67" t="s">
        <v>98</v>
      </c>
      <c r="B652" s="17" t="s">
        <v>596</v>
      </c>
      <c r="C652" s="17" t="s">
        <v>165</v>
      </c>
      <c r="D652" s="17" t="s">
        <v>346</v>
      </c>
      <c r="E652" s="17"/>
      <c r="F652" s="100">
        <f>F653</f>
        <v>38358</v>
      </c>
      <c r="G652" s="100">
        <f>G653</f>
        <v>38358</v>
      </c>
      <c r="H652" s="35">
        <f t="shared" si="34"/>
        <v>100</v>
      </c>
    </row>
    <row r="653" spans="1:8" s="24" customFormat="1" x14ac:dyDescent="0.2">
      <c r="A653" s="68" t="s">
        <v>191</v>
      </c>
      <c r="B653" s="22" t="s">
        <v>596</v>
      </c>
      <c r="C653" s="22" t="s">
        <v>165</v>
      </c>
      <c r="D653" s="22" t="s">
        <v>346</v>
      </c>
      <c r="E653" s="22" t="s">
        <v>522</v>
      </c>
      <c r="F653" s="96">
        <f>F654</f>
        <v>38358</v>
      </c>
      <c r="G653" s="96">
        <f>G654</f>
        <v>38358</v>
      </c>
      <c r="H653" s="31">
        <f t="shared" si="34"/>
        <v>100</v>
      </c>
    </row>
    <row r="654" spans="1:8" s="24" customFormat="1" x14ac:dyDescent="0.2">
      <c r="A654" s="68" t="s">
        <v>192</v>
      </c>
      <c r="B654" s="22" t="s">
        <v>596</v>
      </c>
      <c r="C654" s="22" t="s">
        <v>165</v>
      </c>
      <c r="D654" s="22" t="s">
        <v>346</v>
      </c>
      <c r="E654" s="22" t="s">
        <v>536</v>
      </c>
      <c r="F654" s="96">
        <f>36758+1600</f>
        <v>38358</v>
      </c>
      <c r="G654" s="96">
        <v>38358</v>
      </c>
      <c r="H654" s="31">
        <f t="shared" si="34"/>
        <v>100</v>
      </c>
    </row>
    <row r="655" spans="1:8" s="24" customFormat="1" ht="12.75" customHeight="1" x14ac:dyDescent="0.2">
      <c r="A655" s="64" t="s">
        <v>473</v>
      </c>
      <c r="B655" s="16" t="s">
        <v>596</v>
      </c>
      <c r="C655" s="16" t="s">
        <v>165</v>
      </c>
      <c r="D655" s="16" t="s">
        <v>347</v>
      </c>
      <c r="E655" s="16"/>
      <c r="F655" s="32">
        <f t="shared" ref="F655:G657" si="37">F656</f>
        <v>31287.499999999996</v>
      </c>
      <c r="G655" s="32">
        <f t="shared" si="37"/>
        <v>30207.573</v>
      </c>
      <c r="H655" s="32">
        <f t="shared" si="34"/>
        <v>96.548375549340804</v>
      </c>
    </row>
    <row r="656" spans="1:8" s="24" customFormat="1" x14ac:dyDescent="0.2">
      <c r="A656" s="69" t="s">
        <v>77</v>
      </c>
      <c r="B656" s="25" t="s">
        <v>596</v>
      </c>
      <c r="C656" s="25" t="s">
        <v>165</v>
      </c>
      <c r="D656" s="25" t="s">
        <v>78</v>
      </c>
      <c r="E656" s="17"/>
      <c r="F656" s="85">
        <f t="shared" si="37"/>
        <v>31287.499999999996</v>
      </c>
      <c r="G656" s="85">
        <f t="shared" si="37"/>
        <v>30207.573</v>
      </c>
      <c r="H656" s="31">
        <f t="shared" si="34"/>
        <v>96.548375549340804</v>
      </c>
    </row>
    <row r="657" spans="1:8" s="24" customFormat="1" x14ac:dyDescent="0.2">
      <c r="A657" s="68" t="s">
        <v>191</v>
      </c>
      <c r="B657" s="22" t="s">
        <v>596</v>
      </c>
      <c r="C657" s="22" t="s">
        <v>165</v>
      </c>
      <c r="D657" s="22" t="s">
        <v>78</v>
      </c>
      <c r="E657" s="22" t="s">
        <v>522</v>
      </c>
      <c r="F657" s="31">
        <f t="shared" si="37"/>
        <v>31287.499999999996</v>
      </c>
      <c r="G657" s="31">
        <f t="shared" si="37"/>
        <v>30207.573</v>
      </c>
      <c r="H657" s="31">
        <f t="shared" si="34"/>
        <v>96.548375549340804</v>
      </c>
    </row>
    <row r="658" spans="1:8" s="24" customFormat="1" x14ac:dyDescent="0.2">
      <c r="A658" s="68" t="s">
        <v>192</v>
      </c>
      <c r="B658" s="22" t="s">
        <v>596</v>
      </c>
      <c r="C658" s="22" t="s">
        <v>165</v>
      </c>
      <c r="D658" s="22" t="s">
        <v>78</v>
      </c>
      <c r="E658" s="22" t="s">
        <v>536</v>
      </c>
      <c r="F658" s="31">
        <f>33920.7-0.5-2632.7</f>
        <v>31287.499999999996</v>
      </c>
      <c r="G658" s="31">
        <v>30207.573</v>
      </c>
      <c r="H658" s="31">
        <f t="shared" si="34"/>
        <v>96.548375549340804</v>
      </c>
    </row>
    <row r="659" spans="1:8" s="24" customFormat="1" x14ac:dyDescent="0.2">
      <c r="A659" s="64" t="s">
        <v>224</v>
      </c>
      <c r="B659" s="16" t="s">
        <v>596</v>
      </c>
      <c r="C659" s="16" t="s">
        <v>165</v>
      </c>
      <c r="D659" s="16" t="s">
        <v>223</v>
      </c>
      <c r="E659" s="16"/>
      <c r="F659" s="32">
        <f>F660</f>
        <v>86.798090000000002</v>
      </c>
      <c r="G659" s="32">
        <f>G660</f>
        <v>86.798000000000002</v>
      </c>
      <c r="H659" s="32">
        <f t="shared" si="34"/>
        <v>99.999896311082423</v>
      </c>
    </row>
    <row r="660" spans="1:8" s="24" customFormat="1" x14ac:dyDescent="0.2">
      <c r="A660" s="68" t="s">
        <v>191</v>
      </c>
      <c r="B660" s="22" t="s">
        <v>596</v>
      </c>
      <c r="C660" s="22" t="s">
        <v>165</v>
      </c>
      <c r="D660" s="22" t="s">
        <v>223</v>
      </c>
      <c r="E660" s="22" t="s">
        <v>522</v>
      </c>
      <c r="F660" s="31">
        <f>F661</f>
        <v>86.798090000000002</v>
      </c>
      <c r="G660" s="31">
        <f>G661</f>
        <v>86.798000000000002</v>
      </c>
      <c r="H660" s="31">
        <f t="shared" si="34"/>
        <v>99.999896311082423</v>
      </c>
    </row>
    <row r="661" spans="1:8" s="24" customFormat="1" x14ac:dyDescent="0.2">
      <c r="A661" s="68" t="s">
        <v>192</v>
      </c>
      <c r="B661" s="22" t="s">
        <v>596</v>
      </c>
      <c r="C661" s="22" t="s">
        <v>165</v>
      </c>
      <c r="D661" s="22" t="s">
        <v>223</v>
      </c>
      <c r="E661" s="22" t="s">
        <v>536</v>
      </c>
      <c r="F661" s="31">
        <v>86.798090000000002</v>
      </c>
      <c r="G661" s="31">
        <v>86.798000000000002</v>
      </c>
      <c r="H661" s="31">
        <f t="shared" si="34"/>
        <v>99.999896311082423</v>
      </c>
    </row>
    <row r="662" spans="1:8" s="24" customFormat="1" x14ac:dyDescent="0.2">
      <c r="A662" s="64" t="s">
        <v>624</v>
      </c>
      <c r="B662" s="16" t="s">
        <v>596</v>
      </c>
      <c r="C662" s="16" t="s">
        <v>165</v>
      </c>
      <c r="D662" s="16" t="s">
        <v>625</v>
      </c>
      <c r="E662" s="16"/>
      <c r="F662" s="32">
        <f>F663</f>
        <v>0.5</v>
      </c>
      <c r="G662" s="32">
        <f>G663</f>
        <v>0.5</v>
      </c>
      <c r="H662" s="32">
        <f t="shared" si="34"/>
        <v>100</v>
      </c>
    </row>
    <row r="663" spans="1:8" s="24" customFormat="1" x14ac:dyDescent="0.2">
      <c r="A663" s="68" t="s">
        <v>191</v>
      </c>
      <c r="B663" s="22" t="s">
        <v>596</v>
      </c>
      <c r="C663" s="22" t="s">
        <v>165</v>
      </c>
      <c r="D663" s="22" t="s">
        <v>625</v>
      </c>
      <c r="E663" s="22" t="s">
        <v>522</v>
      </c>
      <c r="F663" s="31">
        <f>F664</f>
        <v>0.5</v>
      </c>
      <c r="G663" s="31">
        <f>G664</f>
        <v>0.5</v>
      </c>
      <c r="H663" s="31">
        <f t="shared" si="34"/>
        <v>100</v>
      </c>
    </row>
    <row r="664" spans="1:8" s="24" customFormat="1" x14ac:dyDescent="0.2">
      <c r="A664" s="68" t="s">
        <v>192</v>
      </c>
      <c r="B664" s="22" t="s">
        <v>596</v>
      </c>
      <c r="C664" s="22" t="s">
        <v>165</v>
      </c>
      <c r="D664" s="22" t="s">
        <v>625</v>
      </c>
      <c r="E664" s="22" t="s">
        <v>536</v>
      </c>
      <c r="F664" s="31">
        <v>0.5</v>
      </c>
      <c r="G664" s="31">
        <v>0.5</v>
      </c>
      <c r="H664" s="31">
        <f t="shared" si="34"/>
        <v>100</v>
      </c>
    </row>
    <row r="665" spans="1:8" s="24" customFormat="1" x14ac:dyDescent="0.2">
      <c r="A665" s="64" t="s">
        <v>587</v>
      </c>
      <c r="B665" s="16" t="s">
        <v>596</v>
      </c>
      <c r="C665" s="16" t="s">
        <v>167</v>
      </c>
      <c r="D665" s="16"/>
      <c r="E665" s="16"/>
      <c r="F665" s="32">
        <f>F666+F701+F705</f>
        <v>24737.9</v>
      </c>
      <c r="G665" s="32">
        <f>G666+G701+G705</f>
        <v>23873.77</v>
      </c>
      <c r="H665" s="32">
        <f t="shared" si="34"/>
        <v>96.506857898204785</v>
      </c>
    </row>
    <row r="666" spans="1:8" s="24" customFormat="1" ht="27" x14ac:dyDescent="0.2">
      <c r="A666" s="70" t="s">
        <v>438</v>
      </c>
      <c r="B666" s="43" t="s">
        <v>596</v>
      </c>
      <c r="C666" s="43" t="s">
        <v>167</v>
      </c>
      <c r="D666" s="43" t="s">
        <v>337</v>
      </c>
      <c r="E666" s="43"/>
      <c r="F666" s="47">
        <f>F667+F686+F690</f>
        <v>24140.984</v>
      </c>
      <c r="G666" s="47">
        <f>G667+G686+G690</f>
        <v>23284.440999999999</v>
      </c>
      <c r="H666" s="35">
        <f t="shared" si="34"/>
        <v>96.451913476269226</v>
      </c>
    </row>
    <row r="667" spans="1:8" s="24" customFormat="1" ht="13.5" x14ac:dyDescent="0.2">
      <c r="A667" s="70" t="s">
        <v>164</v>
      </c>
      <c r="B667" s="43" t="s">
        <v>596</v>
      </c>
      <c r="C667" s="43" t="s">
        <v>167</v>
      </c>
      <c r="D667" s="43" t="s">
        <v>352</v>
      </c>
      <c r="E667" s="43"/>
      <c r="F667" s="47">
        <f>F668+F671+F674+F677+F680+F683</f>
        <v>19684.439999999999</v>
      </c>
      <c r="G667" s="47">
        <f>G668+G671+G674+G677+G680+G683</f>
        <v>19175.14</v>
      </c>
      <c r="H667" s="32">
        <f t="shared" si="34"/>
        <v>97.412677221196034</v>
      </c>
    </row>
    <row r="668" spans="1:8" s="24" customFormat="1" x14ac:dyDescent="0.2">
      <c r="A668" s="61" t="s">
        <v>194</v>
      </c>
      <c r="B668" s="16" t="s">
        <v>596</v>
      </c>
      <c r="C668" s="16" t="s">
        <v>167</v>
      </c>
      <c r="D668" s="16" t="s">
        <v>80</v>
      </c>
      <c r="E668" s="17"/>
      <c r="F668" s="32">
        <f>F669</f>
        <v>18653.439999999999</v>
      </c>
      <c r="G668" s="32">
        <f>G669</f>
        <v>18653.14</v>
      </c>
      <c r="H668" s="32">
        <f t="shared" si="34"/>
        <v>99.998391717559869</v>
      </c>
    </row>
    <row r="669" spans="1:8" s="24" customFormat="1" x14ac:dyDescent="0.2">
      <c r="A669" s="68" t="s">
        <v>378</v>
      </c>
      <c r="B669" s="22" t="s">
        <v>596</v>
      </c>
      <c r="C669" s="22" t="s">
        <v>167</v>
      </c>
      <c r="D669" s="22" t="s">
        <v>80</v>
      </c>
      <c r="E669" s="22" t="s">
        <v>175</v>
      </c>
      <c r="F669" s="31">
        <f>F670</f>
        <v>18653.439999999999</v>
      </c>
      <c r="G669" s="31">
        <f>G670</f>
        <v>18653.14</v>
      </c>
      <c r="H669" s="31">
        <f t="shared" si="34"/>
        <v>99.998391717559869</v>
      </c>
    </row>
    <row r="670" spans="1:8" s="24" customFormat="1" x14ac:dyDescent="0.2">
      <c r="A670" s="68" t="s">
        <v>176</v>
      </c>
      <c r="B670" s="22" t="s">
        <v>596</v>
      </c>
      <c r="C670" s="22" t="s">
        <v>167</v>
      </c>
      <c r="D670" s="22" t="s">
        <v>80</v>
      </c>
      <c r="E670" s="22" t="s">
        <v>177</v>
      </c>
      <c r="F670" s="31">
        <f>17950+703.44</f>
        <v>18653.439999999999</v>
      </c>
      <c r="G670" s="31">
        <v>18653.14</v>
      </c>
      <c r="H670" s="31">
        <f t="shared" si="34"/>
        <v>99.998391717559869</v>
      </c>
    </row>
    <row r="671" spans="1:8" s="24" customFormat="1" ht="13.5" x14ac:dyDescent="0.2">
      <c r="A671" s="105" t="s">
        <v>452</v>
      </c>
      <c r="B671" s="16" t="s">
        <v>596</v>
      </c>
      <c r="C671" s="16" t="s">
        <v>167</v>
      </c>
      <c r="D671" s="16" t="s">
        <v>79</v>
      </c>
      <c r="E671" s="43"/>
      <c r="F671" s="32">
        <f>F672</f>
        <v>9</v>
      </c>
      <c r="G671" s="95">
        <f>G672</f>
        <v>0</v>
      </c>
      <c r="H671" s="95">
        <f t="shared" si="34"/>
        <v>0</v>
      </c>
    </row>
    <row r="672" spans="1:8" s="24" customFormat="1" x14ac:dyDescent="0.2">
      <c r="A672" s="68" t="s">
        <v>378</v>
      </c>
      <c r="B672" s="22" t="s">
        <v>596</v>
      </c>
      <c r="C672" s="22" t="s">
        <v>167</v>
      </c>
      <c r="D672" s="22" t="s">
        <v>79</v>
      </c>
      <c r="E672" s="22" t="s">
        <v>175</v>
      </c>
      <c r="F672" s="31">
        <f>F673</f>
        <v>9</v>
      </c>
      <c r="G672" s="96">
        <f>G673</f>
        <v>0</v>
      </c>
      <c r="H672" s="96">
        <f t="shared" si="34"/>
        <v>0</v>
      </c>
    </row>
    <row r="673" spans="1:8" s="24" customFormat="1" x14ac:dyDescent="0.2">
      <c r="A673" s="68" t="s">
        <v>176</v>
      </c>
      <c r="B673" s="22" t="s">
        <v>596</v>
      </c>
      <c r="C673" s="22" t="s">
        <v>167</v>
      </c>
      <c r="D673" s="22" t="s">
        <v>79</v>
      </c>
      <c r="E673" s="22" t="s">
        <v>177</v>
      </c>
      <c r="F673" s="31">
        <f>500-491</f>
        <v>9</v>
      </c>
      <c r="G673" s="96">
        <v>0</v>
      </c>
      <c r="H673" s="96">
        <f t="shared" si="34"/>
        <v>0</v>
      </c>
    </row>
    <row r="674" spans="1:8" s="24" customFormat="1" ht="24" x14ac:dyDescent="0.2">
      <c r="A674" s="64" t="s">
        <v>455</v>
      </c>
      <c r="B674" s="16" t="s">
        <v>596</v>
      </c>
      <c r="C674" s="16" t="s">
        <v>167</v>
      </c>
      <c r="D674" s="16" t="s">
        <v>81</v>
      </c>
      <c r="E674" s="16"/>
      <c r="F674" s="32">
        <f>F675</f>
        <v>200</v>
      </c>
      <c r="G674" s="32">
        <f>G675</f>
        <v>100</v>
      </c>
      <c r="H674" s="32">
        <f t="shared" si="34"/>
        <v>50</v>
      </c>
    </row>
    <row r="675" spans="1:8" s="24" customFormat="1" x14ac:dyDescent="0.2">
      <c r="A675" s="68" t="s">
        <v>378</v>
      </c>
      <c r="B675" s="22" t="s">
        <v>596</v>
      </c>
      <c r="C675" s="22" t="s">
        <v>167</v>
      </c>
      <c r="D675" s="22" t="s">
        <v>81</v>
      </c>
      <c r="E675" s="22" t="s">
        <v>175</v>
      </c>
      <c r="F675" s="31">
        <f>F676</f>
        <v>200</v>
      </c>
      <c r="G675" s="31">
        <f>G676</f>
        <v>100</v>
      </c>
      <c r="H675" s="31">
        <f t="shared" si="34"/>
        <v>50</v>
      </c>
    </row>
    <row r="676" spans="1:8" s="24" customFormat="1" x14ac:dyDescent="0.2">
      <c r="A676" s="68" t="s">
        <v>176</v>
      </c>
      <c r="B676" s="22" t="s">
        <v>596</v>
      </c>
      <c r="C676" s="22" t="s">
        <v>167</v>
      </c>
      <c r="D676" s="22" t="s">
        <v>81</v>
      </c>
      <c r="E676" s="22" t="s">
        <v>177</v>
      </c>
      <c r="F676" s="31">
        <v>200</v>
      </c>
      <c r="G676" s="31">
        <v>100</v>
      </c>
      <c r="H676" s="31">
        <f t="shared" si="34"/>
        <v>50</v>
      </c>
    </row>
    <row r="677" spans="1:8" s="24" customFormat="1" ht="24" x14ac:dyDescent="0.2">
      <c r="A677" s="64" t="s">
        <v>564</v>
      </c>
      <c r="B677" s="16" t="s">
        <v>596</v>
      </c>
      <c r="C677" s="16" t="s">
        <v>167</v>
      </c>
      <c r="D677" s="16" t="s">
        <v>82</v>
      </c>
      <c r="E677" s="16"/>
      <c r="F677" s="32">
        <f>F678</f>
        <v>22</v>
      </c>
      <c r="G677" s="32">
        <f>G678</f>
        <v>22</v>
      </c>
      <c r="H677" s="32">
        <f t="shared" si="34"/>
        <v>100</v>
      </c>
    </row>
    <row r="678" spans="1:8" s="24" customFormat="1" x14ac:dyDescent="0.2">
      <c r="A678" s="68" t="s">
        <v>378</v>
      </c>
      <c r="B678" s="22" t="s">
        <v>596</v>
      </c>
      <c r="C678" s="22" t="s">
        <v>167</v>
      </c>
      <c r="D678" s="22" t="s">
        <v>82</v>
      </c>
      <c r="E678" s="22" t="s">
        <v>175</v>
      </c>
      <c r="F678" s="31">
        <f>F679</f>
        <v>22</v>
      </c>
      <c r="G678" s="31">
        <f>G679</f>
        <v>22</v>
      </c>
      <c r="H678" s="31">
        <f t="shared" si="34"/>
        <v>100</v>
      </c>
    </row>
    <row r="679" spans="1:8" s="24" customFormat="1" x14ac:dyDescent="0.2">
      <c r="A679" s="68" t="s">
        <v>176</v>
      </c>
      <c r="B679" s="22" t="s">
        <v>596</v>
      </c>
      <c r="C679" s="22" t="s">
        <v>167</v>
      </c>
      <c r="D679" s="22" t="s">
        <v>82</v>
      </c>
      <c r="E679" s="22" t="s">
        <v>177</v>
      </c>
      <c r="F679" s="31">
        <f>500-478</f>
        <v>22</v>
      </c>
      <c r="G679" s="31">
        <v>22</v>
      </c>
      <c r="H679" s="31">
        <f t="shared" si="34"/>
        <v>100</v>
      </c>
    </row>
    <row r="680" spans="1:8" s="24" customFormat="1" ht="14.25" customHeight="1" x14ac:dyDescent="0.2">
      <c r="A680" s="64" t="s">
        <v>431</v>
      </c>
      <c r="B680" s="16" t="s">
        <v>596</v>
      </c>
      <c r="C680" s="16" t="s">
        <v>167</v>
      </c>
      <c r="D680" s="16" t="s">
        <v>83</v>
      </c>
      <c r="E680" s="16"/>
      <c r="F680" s="95">
        <f>F681</f>
        <v>500</v>
      </c>
      <c r="G680" s="95">
        <f>G681</f>
        <v>100</v>
      </c>
      <c r="H680" s="32">
        <f t="shared" si="34"/>
        <v>20</v>
      </c>
    </row>
    <row r="681" spans="1:8" s="24" customFormat="1" x14ac:dyDescent="0.2">
      <c r="A681" s="68" t="s">
        <v>378</v>
      </c>
      <c r="B681" s="22" t="s">
        <v>596</v>
      </c>
      <c r="C681" s="22" t="s">
        <v>167</v>
      </c>
      <c r="D681" s="22" t="s">
        <v>83</v>
      </c>
      <c r="E681" s="22" t="s">
        <v>175</v>
      </c>
      <c r="F681" s="96">
        <f>F682</f>
        <v>500</v>
      </c>
      <c r="G681" s="96">
        <f>G682</f>
        <v>100</v>
      </c>
      <c r="H681" s="31">
        <f t="shared" si="34"/>
        <v>20</v>
      </c>
    </row>
    <row r="682" spans="1:8" s="24" customFormat="1" x14ac:dyDescent="0.2">
      <c r="A682" s="68" t="s">
        <v>176</v>
      </c>
      <c r="B682" s="22" t="s">
        <v>596</v>
      </c>
      <c r="C682" s="22" t="s">
        <v>167</v>
      </c>
      <c r="D682" s="22" t="s">
        <v>83</v>
      </c>
      <c r="E682" s="22" t="s">
        <v>177</v>
      </c>
      <c r="F682" s="96">
        <v>500</v>
      </c>
      <c r="G682" s="96">
        <v>100</v>
      </c>
      <c r="H682" s="31">
        <f t="shared" si="34"/>
        <v>20</v>
      </c>
    </row>
    <row r="683" spans="1:8" s="24" customFormat="1" x14ac:dyDescent="0.2">
      <c r="A683" s="64" t="s">
        <v>430</v>
      </c>
      <c r="B683" s="16" t="s">
        <v>596</v>
      </c>
      <c r="C683" s="16" t="s">
        <v>167</v>
      </c>
      <c r="D683" s="16" t="s">
        <v>84</v>
      </c>
      <c r="E683" s="16"/>
      <c r="F683" s="32">
        <f>F684</f>
        <v>300</v>
      </c>
      <c r="G683" s="32">
        <f>G684</f>
        <v>300</v>
      </c>
      <c r="H683" s="32">
        <f t="shared" si="34"/>
        <v>100</v>
      </c>
    </row>
    <row r="684" spans="1:8" s="24" customFormat="1" x14ac:dyDescent="0.2">
      <c r="A684" s="68" t="s">
        <v>378</v>
      </c>
      <c r="B684" s="22" t="s">
        <v>596</v>
      </c>
      <c r="C684" s="22" t="s">
        <v>167</v>
      </c>
      <c r="D684" s="22" t="s">
        <v>84</v>
      </c>
      <c r="E684" s="22" t="s">
        <v>175</v>
      </c>
      <c r="F684" s="31">
        <f>F685</f>
        <v>300</v>
      </c>
      <c r="G684" s="31">
        <f>G685</f>
        <v>300</v>
      </c>
      <c r="H684" s="31">
        <f t="shared" si="34"/>
        <v>100</v>
      </c>
    </row>
    <row r="685" spans="1:8" s="24" customFormat="1" x14ac:dyDescent="0.2">
      <c r="A685" s="68" t="s">
        <v>176</v>
      </c>
      <c r="B685" s="22" t="s">
        <v>596</v>
      </c>
      <c r="C685" s="22" t="s">
        <v>167</v>
      </c>
      <c r="D685" s="22" t="s">
        <v>84</v>
      </c>
      <c r="E685" s="22" t="s">
        <v>177</v>
      </c>
      <c r="F685" s="31">
        <v>300</v>
      </c>
      <c r="G685" s="31">
        <v>300</v>
      </c>
      <c r="H685" s="31">
        <f t="shared" ref="H685:H749" si="38">G685/F685*100</f>
        <v>100</v>
      </c>
    </row>
    <row r="686" spans="1:8" s="24" customFormat="1" ht="15" customHeight="1" x14ac:dyDescent="0.2">
      <c r="A686" s="205" t="s">
        <v>470</v>
      </c>
      <c r="B686" s="206" t="s">
        <v>596</v>
      </c>
      <c r="C686" s="206" t="s">
        <v>167</v>
      </c>
      <c r="D686" s="206" t="s">
        <v>342</v>
      </c>
      <c r="E686" s="125"/>
      <c r="F686" s="207">
        <f t="shared" ref="F686:G688" si="39">F687</f>
        <v>172.04400000000001</v>
      </c>
      <c r="G686" s="208">
        <f t="shared" si="39"/>
        <v>0</v>
      </c>
      <c r="H686" s="208">
        <f>G686/F686*100</f>
        <v>0</v>
      </c>
    </row>
    <row r="687" spans="1:8" s="24" customFormat="1" x14ac:dyDescent="0.2">
      <c r="A687" s="121" t="s">
        <v>638</v>
      </c>
      <c r="B687" s="122" t="s">
        <v>596</v>
      </c>
      <c r="C687" s="122" t="s">
        <v>167</v>
      </c>
      <c r="D687" s="122" t="s">
        <v>821</v>
      </c>
      <c r="E687" s="122"/>
      <c r="F687" s="127">
        <f t="shared" si="39"/>
        <v>172.04400000000001</v>
      </c>
      <c r="G687" s="123">
        <f t="shared" si="39"/>
        <v>0</v>
      </c>
      <c r="H687" s="123">
        <f>G687/F687*100</f>
        <v>0</v>
      </c>
    </row>
    <row r="688" spans="1:8" s="24" customFormat="1" x14ac:dyDescent="0.2">
      <c r="A688" s="124" t="s">
        <v>378</v>
      </c>
      <c r="B688" s="125" t="s">
        <v>596</v>
      </c>
      <c r="C688" s="125" t="s">
        <v>167</v>
      </c>
      <c r="D688" s="125" t="s">
        <v>821</v>
      </c>
      <c r="E688" s="125" t="s">
        <v>175</v>
      </c>
      <c r="F688" s="210">
        <f t="shared" si="39"/>
        <v>172.04400000000001</v>
      </c>
      <c r="G688" s="126">
        <f t="shared" si="39"/>
        <v>0</v>
      </c>
      <c r="H688" s="126">
        <f>G688/F688*100</f>
        <v>0</v>
      </c>
    </row>
    <row r="689" spans="1:8" s="24" customFormat="1" x14ac:dyDescent="0.2">
      <c r="A689" s="124" t="s">
        <v>176</v>
      </c>
      <c r="B689" s="125" t="s">
        <v>596</v>
      </c>
      <c r="C689" s="125" t="s">
        <v>167</v>
      </c>
      <c r="D689" s="125" t="s">
        <v>821</v>
      </c>
      <c r="E689" s="125" t="s">
        <v>177</v>
      </c>
      <c r="F689" s="210">
        <v>172.04400000000001</v>
      </c>
      <c r="G689" s="126">
        <v>0</v>
      </c>
      <c r="H689" s="126">
        <f>G689/F689*100</f>
        <v>0</v>
      </c>
    </row>
    <row r="690" spans="1:8" s="24" customFormat="1" ht="15.75" customHeight="1" x14ac:dyDescent="0.2">
      <c r="A690" s="205" t="s">
        <v>349</v>
      </c>
      <c r="B690" s="206" t="s">
        <v>596</v>
      </c>
      <c r="C690" s="206" t="s">
        <v>167</v>
      </c>
      <c r="D690" s="206" t="s">
        <v>351</v>
      </c>
      <c r="E690" s="206"/>
      <c r="F690" s="207">
        <f>F691</f>
        <v>4284.5</v>
      </c>
      <c r="G690" s="207">
        <f>G691</f>
        <v>4109.3009999999995</v>
      </c>
      <c r="H690" s="207">
        <f t="shared" si="38"/>
        <v>95.910864745011068</v>
      </c>
    </row>
    <row r="691" spans="1:8" s="24" customFormat="1" x14ac:dyDescent="0.2">
      <c r="A691" s="64" t="s">
        <v>350</v>
      </c>
      <c r="B691" s="16" t="s">
        <v>596</v>
      </c>
      <c r="C691" s="16" t="s">
        <v>167</v>
      </c>
      <c r="D691" s="16" t="s">
        <v>351</v>
      </c>
      <c r="E691" s="16"/>
      <c r="F691" s="32">
        <f>F692</f>
        <v>4284.5</v>
      </c>
      <c r="G691" s="32">
        <f>G692</f>
        <v>4109.3009999999995</v>
      </c>
      <c r="H691" s="32">
        <f t="shared" si="38"/>
        <v>95.910864745011068</v>
      </c>
    </row>
    <row r="692" spans="1:8" s="24" customFormat="1" ht="24" x14ac:dyDescent="0.2">
      <c r="A692" s="67" t="s">
        <v>524</v>
      </c>
      <c r="B692" s="17" t="s">
        <v>596</v>
      </c>
      <c r="C692" s="17" t="s">
        <v>167</v>
      </c>
      <c r="D692" s="25" t="s">
        <v>351</v>
      </c>
      <c r="E692" s="17"/>
      <c r="F692" s="35">
        <f>F693+F696</f>
        <v>4284.5</v>
      </c>
      <c r="G692" s="35">
        <f>G693+G696</f>
        <v>4109.3009999999995</v>
      </c>
      <c r="H692" s="32">
        <f t="shared" si="38"/>
        <v>95.910864745011068</v>
      </c>
    </row>
    <row r="693" spans="1:8" s="24" customFormat="1" x14ac:dyDescent="0.2">
      <c r="A693" s="66" t="s">
        <v>505</v>
      </c>
      <c r="B693" s="16" t="s">
        <v>596</v>
      </c>
      <c r="C693" s="16" t="s">
        <v>167</v>
      </c>
      <c r="D693" s="16" t="s">
        <v>161</v>
      </c>
      <c r="E693" s="16"/>
      <c r="F693" s="32">
        <f>F694</f>
        <v>3925.49</v>
      </c>
      <c r="G693" s="32">
        <f>G694</f>
        <v>3881.5129999999999</v>
      </c>
      <c r="H693" s="32">
        <f t="shared" si="38"/>
        <v>98.8797067372481</v>
      </c>
    </row>
    <row r="694" spans="1:8" s="24" customFormat="1" ht="24" x14ac:dyDescent="0.2">
      <c r="A694" s="68" t="s">
        <v>168</v>
      </c>
      <c r="B694" s="22" t="s">
        <v>596</v>
      </c>
      <c r="C694" s="22" t="s">
        <v>167</v>
      </c>
      <c r="D694" s="22" t="s">
        <v>161</v>
      </c>
      <c r="E694" s="22" t="s">
        <v>169</v>
      </c>
      <c r="F694" s="31">
        <f>F695</f>
        <v>3925.49</v>
      </c>
      <c r="G694" s="31">
        <f>G695</f>
        <v>3881.5129999999999</v>
      </c>
      <c r="H694" s="31">
        <f t="shared" si="38"/>
        <v>98.8797067372481</v>
      </c>
    </row>
    <row r="695" spans="1:8" s="24" customFormat="1" x14ac:dyDescent="0.2">
      <c r="A695" s="68" t="s">
        <v>170</v>
      </c>
      <c r="B695" s="22" t="s">
        <v>596</v>
      </c>
      <c r="C695" s="22" t="s">
        <v>167</v>
      </c>
      <c r="D695" s="22" t="s">
        <v>161</v>
      </c>
      <c r="E695" s="22" t="s">
        <v>173</v>
      </c>
      <c r="F695" s="31">
        <f>3775+85.2+15.4+9.89+40</f>
        <v>3925.49</v>
      </c>
      <c r="G695" s="31">
        <v>3881.5129999999999</v>
      </c>
      <c r="H695" s="31">
        <f t="shared" si="38"/>
        <v>98.8797067372481</v>
      </c>
    </row>
    <row r="696" spans="1:8" s="24" customFormat="1" x14ac:dyDescent="0.2">
      <c r="A696" s="64" t="s">
        <v>174</v>
      </c>
      <c r="B696" s="16" t="s">
        <v>596</v>
      </c>
      <c r="C696" s="16" t="s">
        <v>167</v>
      </c>
      <c r="D696" s="16" t="s">
        <v>162</v>
      </c>
      <c r="E696" s="16"/>
      <c r="F696" s="32">
        <f>F697+F699</f>
        <v>359.01000000000005</v>
      </c>
      <c r="G696" s="32">
        <f>G697+G699</f>
        <v>227.78800000000001</v>
      </c>
      <c r="H696" s="32">
        <f t="shared" si="38"/>
        <v>63.448928999192219</v>
      </c>
    </row>
    <row r="697" spans="1:8" s="24" customFormat="1" x14ac:dyDescent="0.2">
      <c r="A697" s="68" t="s">
        <v>378</v>
      </c>
      <c r="B697" s="22" t="s">
        <v>596</v>
      </c>
      <c r="C697" s="22" t="s">
        <v>167</v>
      </c>
      <c r="D697" s="22" t="s">
        <v>162</v>
      </c>
      <c r="E697" s="22" t="s">
        <v>175</v>
      </c>
      <c r="F697" s="31">
        <f>F698</f>
        <v>327.21000000000004</v>
      </c>
      <c r="G697" s="31">
        <f>G698</f>
        <v>227.78800000000001</v>
      </c>
      <c r="H697" s="31">
        <f t="shared" si="38"/>
        <v>69.615231808318811</v>
      </c>
    </row>
    <row r="698" spans="1:8" s="24" customFormat="1" x14ac:dyDescent="0.2">
      <c r="A698" s="68" t="s">
        <v>176</v>
      </c>
      <c r="B698" s="22" t="s">
        <v>596</v>
      </c>
      <c r="C698" s="22" t="s">
        <v>167</v>
      </c>
      <c r="D698" s="22" t="s">
        <v>162</v>
      </c>
      <c r="E698" s="22" t="s">
        <v>177</v>
      </c>
      <c r="F698" s="31">
        <f>248.8+23+55.41</f>
        <v>327.21000000000004</v>
      </c>
      <c r="G698" s="31">
        <v>227.78800000000001</v>
      </c>
      <c r="H698" s="31">
        <f t="shared" si="38"/>
        <v>69.615231808318811</v>
      </c>
    </row>
    <row r="699" spans="1:8" s="24" customFormat="1" x14ac:dyDescent="0.2">
      <c r="A699" s="68" t="s">
        <v>178</v>
      </c>
      <c r="B699" s="22" t="s">
        <v>596</v>
      </c>
      <c r="C699" s="22" t="s">
        <v>167</v>
      </c>
      <c r="D699" s="22" t="s">
        <v>162</v>
      </c>
      <c r="E699" s="22" t="s">
        <v>179</v>
      </c>
      <c r="F699" s="31">
        <f>F700</f>
        <v>31.799999999999997</v>
      </c>
      <c r="G699" s="133">
        <f>G700</f>
        <v>0</v>
      </c>
      <c r="H699" s="133">
        <f t="shared" si="38"/>
        <v>0</v>
      </c>
    </row>
    <row r="700" spans="1:8" s="24" customFormat="1" x14ac:dyDescent="0.2">
      <c r="A700" s="68" t="s">
        <v>87</v>
      </c>
      <c r="B700" s="22" t="s">
        <v>596</v>
      </c>
      <c r="C700" s="22" t="s">
        <v>167</v>
      </c>
      <c r="D700" s="22" t="s">
        <v>162</v>
      </c>
      <c r="E700" s="22" t="s">
        <v>180</v>
      </c>
      <c r="F700" s="31">
        <f>140-108.2</f>
        <v>31.799999999999997</v>
      </c>
      <c r="G700" s="133">
        <v>0</v>
      </c>
      <c r="H700" s="133">
        <f t="shared" si="38"/>
        <v>0</v>
      </c>
    </row>
    <row r="701" spans="1:8" s="24" customFormat="1" ht="27" x14ac:dyDescent="0.2">
      <c r="A701" s="70" t="s">
        <v>440</v>
      </c>
      <c r="B701" s="43" t="s">
        <v>596</v>
      </c>
      <c r="C701" s="43" t="s">
        <v>167</v>
      </c>
      <c r="D701" s="43" t="s">
        <v>353</v>
      </c>
      <c r="E701" s="43"/>
      <c r="F701" s="47">
        <f t="shared" ref="F701:G703" si="40">F702</f>
        <v>520</v>
      </c>
      <c r="G701" s="47">
        <f t="shared" si="40"/>
        <v>512.41300000000001</v>
      </c>
      <c r="H701" s="47">
        <f t="shared" si="38"/>
        <v>98.540961538461531</v>
      </c>
    </row>
    <row r="702" spans="1:8" s="24" customFormat="1" x14ac:dyDescent="0.2">
      <c r="A702" s="61" t="s">
        <v>217</v>
      </c>
      <c r="B702" s="16" t="s">
        <v>596</v>
      </c>
      <c r="C702" s="16" t="s">
        <v>167</v>
      </c>
      <c r="D702" s="16" t="s">
        <v>617</v>
      </c>
      <c r="E702" s="16"/>
      <c r="F702" s="32">
        <f t="shared" si="40"/>
        <v>520</v>
      </c>
      <c r="G702" s="32">
        <f t="shared" si="40"/>
        <v>512.41300000000001</v>
      </c>
      <c r="H702" s="32">
        <f t="shared" si="38"/>
        <v>98.540961538461531</v>
      </c>
    </row>
    <row r="703" spans="1:8" s="24" customFormat="1" x14ac:dyDescent="0.2">
      <c r="A703" s="68" t="s">
        <v>378</v>
      </c>
      <c r="B703" s="22" t="s">
        <v>596</v>
      </c>
      <c r="C703" s="22" t="s">
        <v>167</v>
      </c>
      <c r="D703" s="22" t="s">
        <v>617</v>
      </c>
      <c r="E703" s="22" t="s">
        <v>175</v>
      </c>
      <c r="F703" s="31">
        <f t="shared" si="40"/>
        <v>520</v>
      </c>
      <c r="G703" s="31">
        <f t="shared" si="40"/>
        <v>512.41300000000001</v>
      </c>
      <c r="H703" s="31">
        <f t="shared" si="38"/>
        <v>98.540961538461531</v>
      </c>
    </row>
    <row r="704" spans="1:8" s="24" customFormat="1" x14ac:dyDescent="0.2">
      <c r="A704" s="68" t="s">
        <v>176</v>
      </c>
      <c r="B704" s="22" t="s">
        <v>596</v>
      </c>
      <c r="C704" s="22" t="s">
        <v>167</v>
      </c>
      <c r="D704" s="22" t="s">
        <v>617</v>
      </c>
      <c r="E704" s="22" t="s">
        <v>177</v>
      </c>
      <c r="F704" s="31">
        <f>600-80</f>
        <v>520</v>
      </c>
      <c r="G704" s="31">
        <v>512.41300000000001</v>
      </c>
      <c r="H704" s="31">
        <f t="shared" si="38"/>
        <v>98.540961538461531</v>
      </c>
    </row>
    <row r="705" spans="1:8" s="24" customFormat="1" x14ac:dyDescent="0.2">
      <c r="A705" s="65" t="s">
        <v>163</v>
      </c>
      <c r="B705" s="16" t="s">
        <v>596</v>
      </c>
      <c r="C705" s="16" t="s">
        <v>167</v>
      </c>
      <c r="D705" s="33" t="s">
        <v>293</v>
      </c>
      <c r="E705" s="16"/>
      <c r="F705" s="95">
        <f t="shared" ref="F705:G708" si="41">F706</f>
        <v>76.915999999999997</v>
      </c>
      <c r="G705" s="95">
        <f t="shared" si="41"/>
        <v>76.915999999999997</v>
      </c>
      <c r="H705" s="32">
        <f t="shared" si="38"/>
        <v>100</v>
      </c>
    </row>
    <row r="706" spans="1:8" s="24" customFormat="1" x14ac:dyDescent="0.2">
      <c r="A706" s="66" t="s">
        <v>381</v>
      </c>
      <c r="B706" s="16" t="s">
        <v>596</v>
      </c>
      <c r="C706" s="16" t="s">
        <v>167</v>
      </c>
      <c r="D706" s="33" t="s">
        <v>294</v>
      </c>
      <c r="E706" s="16"/>
      <c r="F706" s="95">
        <f t="shared" si="41"/>
        <v>76.915999999999997</v>
      </c>
      <c r="G706" s="95">
        <f t="shared" si="41"/>
        <v>76.915999999999997</v>
      </c>
      <c r="H706" s="32">
        <f t="shared" si="38"/>
        <v>100</v>
      </c>
    </row>
    <row r="707" spans="1:8" s="24" customFormat="1" ht="24" x14ac:dyDescent="0.2">
      <c r="A707" s="64" t="s">
        <v>632</v>
      </c>
      <c r="B707" s="16" t="s">
        <v>596</v>
      </c>
      <c r="C707" s="16" t="s">
        <v>167</v>
      </c>
      <c r="D707" s="16" t="s">
        <v>633</v>
      </c>
      <c r="E707" s="16"/>
      <c r="F707" s="32">
        <f t="shared" si="41"/>
        <v>76.915999999999997</v>
      </c>
      <c r="G707" s="32">
        <f t="shared" si="41"/>
        <v>76.915999999999997</v>
      </c>
      <c r="H707" s="32">
        <f t="shared" si="38"/>
        <v>100</v>
      </c>
    </row>
    <row r="708" spans="1:8" s="24" customFormat="1" ht="24" x14ac:dyDescent="0.2">
      <c r="A708" s="68" t="s">
        <v>168</v>
      </c>
      <c r="B708" s="22" t="s">
        <v>596</v>
      </c>
      <c r="C708" s="22" t="s">
        <v>167</v>
      </c>
      <c r="D708" s="22" t="s">
        <v>633</v>
      </c>
      <c r="E708" s="22" t="s">
        <v>169</v>
      </c>
      <c r="F708" s="31">
        <f t="shared" si="41"/>
        <v>76.915999999999997</v>
      </c>
      <c r="G708" s="31">
        <f t="shared" si="41"/>
        <v>76.915999999999997</v>
      </c>
      <c r="H708" s="31">
        <f t="shared" si="38"/>
        <v>100</v>
      </c>
    </row>
    <row r="709" spans="1:8" s="24" customFormat="1" x14ac:dyDescent="0.2">
      <c r="A709" s="68" t="s">
        <v>170</v>
      </c>
      <c r="B709" s="22" t="s">
        <v>596</v>
      </c>
      <c r="C709" s="22" t="s">
        <v>167</v>
      </c>
      <c r="D709" s="22" t="s">
        <v>633</v>
      </c>
      <c r="E709" s="22" t="s">
        <v>173</v>
      </c>
      <c r="F709" s="31">
        <v>76.915999999999997</v>
      </c>
      <c r="G709" s="31">
        <v>76.915999999999997</v>
      </c>
      <c r="H709" s="31">
        <f t="shared" si="38"/>
        <v>100</v>
      </c>
    </row>
    <row r="710" spans="1:8" s="24" customFormat="1" x14ac:dyDescent="0.2">
      <c r="A710" s="64" t="s">
        <v>520</v>
      </c>
      <c r="B710" s="16" t="s">
        <v>88</v>
      </c>
      <c r="C710" s="16" t="s">
        <v>166</v>
      </c>
      <c r="D710" s="16"/>
      <c r="E710" s="16"/>
      <c r="F710" s="32">
        <f>F711+F717+F746</f>
        <v>107315.78615</v>
      </c>
      <c r="G710" s="32">
        <f>G711+G717+G746</f>
        <v>107153.342</v>
      </c>
      <c r="H710" s="32">
        <f t="shared" si="38"/>
        <v>99.848629772163306</v>
      </c>
    </row>
    <row r="711" spans="1:8" s="24" customFormat="1" x14ac:dyDescent="0.2">
      <c r="A711" s="64" t="s">
        <v>501</v>
      </c>
      <c r="B711" s="16" t="s">
        <v>88</v>
      </c>
      <c r="C711" s="16" t="s">
        <v>165</v>
      </c>
      <c r="D711" s="16" t="s">
        <v>293</v>
      </c>
      <c r="E711" s="16"/>
      <c r="F711" s="32">
        <f t="shared" ref="F711:G715" si="42">F712</f>
        <v>15500</v>
      </c>
      <c r="G711" s="32">
        <f t="shared" si="42"/>
        <v>15500</v>
      </c>
      <c r="H711" s="32">
        <f t="shared" si="38"/>
        <v>100</v>
      </c>
    </row>
    <row r="712" spans="1:8" s="24" customFormat="1" x14ac:dyDescent="0.2">
      <c r="A712" s="67" t="s">
        <v>567</v>
      </c>
      <c r="B712" s="17" t="s">
        <v>88</v>
      </c>
      <c r="C712" s="17" t="s">
        <v>165</v>
      </c>
      <c r="D712" s="17" t="s">
        <v>293</v>
      </c>
      <c r="E712" s="16"/>
      <c r="F712" s="35">
        <f t="shared" si="42"/>
        <v>15500</v>
      </c>
      <c r="G712" s="35">
        <f t="shared" si="42"/>
        <v>15500</v>
      </c>
      <c r="H712" s="35">
        <f t="shared" si="38"/>
        <v>100</v>
      </c>
    </row>
    <row r="713" spans="1:8" s="24" customFormat="1" x14ac:dyDescent="0.2">
      <c r="A713" s="64" t="s">
        <v>381</v>
      </c>
      <c r="B713" s="16" t="s">
        <v>88</v>
      </c>
      <c r="C713" s="16" t="s">
        <v>165</v>
      </c>
      <c r="D713" s="16" t="s">
        <v>294</v>
      </c>
      <c r="E713" s="16"/>
      <c r="F713" s="32">
        <f t="shared" si="42"/>
        <v>15500</v>
      </c>
      <c r="G713" s="32">
        <f t="shared" si="42"/>
        <v>15500</v>
      </c>
      <c r="H713" s="32">
        <f t="shared" si="38"/>
        <v>100</v>
      </c>
    </row>
    <row r="714" spans="1:8" s="24" customFormat="1" ht="24" x14ac:dyDescent="0.2">
      <c r="A714" s="64" t="s">
        <v>514</v>
      </c>
      <c r="B714" s="16" t="s">
        <v>88</v>
      </c>
      <c r="C714" s="16" t="s">
        <v>165</v>
      </c>
      <c r="D714" s="16" t="s">
        <v>435</v>
      </c>
      <c r="E714" s="16"/>
      <c r="F714" s="32">
        <f t="shared" si="42"/>
        <v>15500</v>
      </c>
      <c r="G714" s="32">
        <f t="shared" si="42"/>
        <v>15500</v>
      </c>
      <c r="H714" s="32">
        <f t="shared" si="38"/>
        <v>100</v>
      </c>
    </row>
    <row r="715" spans="1:8" s="24" customFormat="1" x14ac:dyDescent="0.2">
      <c r="A715" s="68" t="s">
        <v>186</v>
      </c>
      <c r="B715" s="22" t="s">
        <v>88</v>
      </c>
      <c r="C715" s="22" t="s">
        <v>165</v>
      </c>
      <c r="D715" s="22" t="s">
        <v>435</v>
      </c>
      <c r="E715" s="22" t="s">
        <v>185</v>
      </c>
      <c r="F715" s="31">
        <f t="shared" si="42"/>
        <v>15500</v>
      </c>
      <c r="G715" s="31">
        <f t="shared" si="42"/>
        <v>15500</v>
      </c>
      <c r="H715" s="31">
        <f t="shared" si="38"/>
        <v>100</v>
      </c>
    </row>
    <row r="716" spans="1:8" s="24" customFormat="1" x14ac:dyDescent="0.2">
      <c r="A716" s="68" t="s">
        <v>236</v>
      </c>
      <c r="B716" s="22" t="s">
        <v>88</v>
      </c>
      <c r="C716" s="22" t="s">
        <v>165</v>
      </c>
      <c r="D716" s="22" t="s">
        <v>435</v>
      </c>
      <c r="E716" s="22" t="s">
        <v>91</v>
      </c>
      <c r="F716" s="31">
        <v>15500</v>
      </c>
      <c r="G716" s="31">
        <v>15500</v>
      </c>
      <c r="H716" s="31">
        <f t="shared" si="38"/>
        <v>100</v>
      </c>
    </row>
    <row r="717" spans="1:8" s="24" customFormat="1" x14ac:dyDescent="0.2">
      <c r="A717" s="64" t="s">
        <v>507</v>
      </c>
      <c r="B717" s="16" t="s">
        <v>88</v>
      </c>
      <c r="C717" s="16" t="s">
        <v>591</v>
      </c>
      <c r="D717" s="16"/>
      <c r="E717" s="16"/>
      <c r="F717" s="32">
        <f>F718+F722+F731</f>
        <v>74809.762750000009</v>
      </c>
      <c r="G717" s="32">
        <f>G718+G722+G731</f>
        <v>74809.676000000007</v>
      </c>
      <c r="H717" s="32">
        <f t="shared" si="38"/>
        <v>99.999884039199145</v>
      </c>
    </row>
    <row r="718" spans="1:8" s="24" customFormat="1" ht="27" x14ac:dyDescent="0.2">
      <c r="A718" s="70" t="s">
        <v>437</v>
      </c>
      <c r="B718" s="43" t="s">
        <v>88</v>
      </c>
      <c r="C718" s="43" t="s">
        <v>591</v>
      </c>
      <c r="D718" s="77" t="s">
        <v>336</v>
      </c>
      <c r="E718" s="43"/>
      <c r="F718" s="47">
        <f t="shared" ref="F718:G720" si="43">F719</f>
        <v>1500</v>
      </c>
      <c r="G718" s="47">
        <f t="shared" si="43"/>
        <v>1500</v>
      </c>
      <c r="H718" s="35">
        <f t="shared" si="38"/>
        <v>100</v>
      </c>
    </row>
    <row r="719" spans="1:8" s="24" customFormat="1" ht="24" x14ac:dyDescent="0.2">
      <c r="A719" s="61" t="s">
        <v>126</v>
      </c>
      <c r="B719" s="16" t="s">
        <v>88</v>
      </c>
      <c r="C719" s="16" t="s">
        <v>591</v>
      </c>
      <c r="D719" s="33" t="s">
        <v>26</v>
      </c>
      <c r="E719" s="16"/>
      <c r="F719" s="32">
        <f t="shared" si="43"/>
        <v>1500</v>
      </c>
      <c r="G719" s="32">
        <f t="shared" si="43"/>
        <v>1500</v>
      </c>
      <c r="H719" s="32">
        <f t="shared" si="38"/>
        <v>100</v>
      </c>
    </row>
    <row r="720" spans="1:8" s="24" customFormat="1" x14ac:dyDescent="0.2">
      <c r="A720" s="68" t="s">
        <v>186</v>
      </c>
      <c r="B720" s="22" t="s">
        <v>88</v>
      </c>
      <c r="C720" s="22" t="s">
        <v>591</v>
      </c>
      <c r="D720" s="30" t="s">
        <v>26</v>
      </c>
      <c r="E720" s="22" t="s">
        <v>185</v>
      </c>
      <c r="F720" s="31">
        <f t="shared" si="43"/>
        <v>1500</v>
      </c>
      <c r="G720" s="31">
        <f t="shared" si="43"/>
        <v>1500</v>
      </c>
      <c r="H720" s="31">
        <f t="shared" si="38"/>
        <v>100</v>
      </c>
    </row>
    <row r="721" spans="1:8" s="24" customFormat="1" x14ac:dyDescent="0.2">
      <c r="A721" s="68" t="s">
        <v>236</v>
      </c>
      <c r="B721" s="22" t="s">
        <v>88</v>
      </c>
      <c r="C721" s="22" t="s">
        <v>591</v>
      </c>
      <c r="D721" s="30" t="s">
        <v>26</v>
      </c>
      <c r="E721" s="22" t="s">
        <v>91</v>
      </c>
      <c r="F721" s="31">
        <v>1500</v>
      </c>
      <c r="G721" s="31">
        <v>1500</v>
      </c>
      <c r="H721" s="31">
        <f t="shared" si="38"/>
        <v>100</v>
      </c>
    </row>
    <row r="722" spans="1:8" s="24" customFormat="1" ht="27" x14ac:dyDescent="0.2">
      <c r="A722" s="70" t="s">
        <v>602</v>
      </c>
      <c r="B722" s="43" t="s">
        <v>88</v>
      </c>
      <c r="C722" s="43" t="s">
        <v>591</v>
      </c>
      <c r="D722" s="43" t="s">
        <v>240</v>
      </c>
      <c r="E722" s="43"/>
      <c r="F722" s="47">
        <f>F723</f>
        <v>10188.079999999998</v>
      </c>
      <c r="G722" s="47">
        <f>G723</f>
        <v>10188.074999999999</v>
      </c>
      <c r="H722" s="35">
        <f t="shared" si="38"/>
        <v>99.999950923039478</v>
      </c>
    </row>
    <row r="723" spans="1:8" s="24" customFormat="1" x14ac:dyDescent="0.2">
      <c r="A723" s="64" t="s">
        <v>366</v>
      </c>
      <c r="B723" s="16" t="s">
        <v>88</v>
      </c>
      <c r="C723" s="16" t="s">
        <v>591</v>
      </c>
      <c r="D723" s="16" t="s">
        <v>249</v>
      </c>
      <c r="E723" s="16"/>
      <c r="F723" s="32">
        <f>F724+F728</f>
        <v>10188.079999999998</v>
      </c>
      <c r="G723" s="32">
        <f>G724+G728</f>
        <v>10188.074999999999</v>
      </c>
      <c r="H723" s="32">
        <f t="shared" si="38"/>
        <v>99.999950923039478</v>
      </c>
    </row>
    <row r="724" spans="1:8" s="24" customFormat="1" ht="36" x14ac:dyDescent="0.2">
      <c r="A724" s="67" t="s">
        <v>227</v>
      </c>
      <c r="B724" s="17" t="s">
        <v>88</v>
      </c>
      <c r="C724" s="17" t="s">
        <v>591</v>
      </c>
      <c r="D724" s="17" t="s">
        <v>368</v>
      </c>
      <c r="E724" s="17"/>
      <c r="F724" s="35">
        <f>F725</f>
        <v>9588.0799999999981</v>
      </c>
      <c r="G724" s="35">
        <f>G725</f>
        <v>9588.0749999999989</v>
      </c>
      <c r="H724" s="32">
        <f t="shared" si="38"/>
        <v>99.999947851916133</v>
      </c>
    </row>
    <row r="725" spans="1:8" s="24" customFormat="1" x14ac:dyDescent="0.2">
      <c r="A725" s="68" t="s">
        <v>191</v>
      </c>
      <c r="B725" s="22" t="s">
        <v>88</v>
      </c>
      <c r="C725" s="22" t="s">
        <v>591</v>
      </c>
      <c r="D725" s="22" t="s">
        <v>368</v>
      </c>
      <c r="E725" s="22" t="s">
        <v>522</v>
      </c>
      <c r="F725" s="31">
        <f>F726+F727</f>
        <v>9588.0799999999981</v>
      </c>
      <c r="G725" s="31">
        <f>G726+G727</f>
        <v>9588.0749999999989</v>
      </c>
      <c r="H725" s="31">
        <f t="shared" si="38"/>
        <v>99.999947851916133</v>
      </c>
    </row>
    <row r="726" spans="1:8" s="24" customFormat="1" x14ac:dyDescent="0.2">
      <c r="A726" s="68" t="s">
        <v>192</v>
      </c>
      <c r="B726" s="22" t="s">
        <v>88</v>
      </c>
      <c r="C726" s="22" t="s">
        <v>591</v>
      </c>
      <c r="D726" s="22" t="s">
        <v>368</v>
      </c>
      <c r="E726" s="22" t="s">
        <v>536</v>
      </c>
      <c r="F726" s="31">
        <f>16260-7056.22</f>
        <v>9203.7799999999988</v>
      </c>
      <c r="G726" s="31">
        <v>9203.7749999999996</v>
      </c>
      <c r="H726" s="31">
        <f t="shared" si="38"/>
        <v>99.999945674494612</v>
      </c>
    </row>
    <row r="727" spans="1:8" s="24" customFormat="1" x14ac:dyDescent="0.2">
      <c r="A727" s="68" t="s">
        <v>89</v>
      </c>
      <c r="B727" s="22" t="s">
        <v>88</v>
      </c>
      <c r="C727" s="22" t="s">
        <v>591</v>
      </c>
      <c r="D727" s="22" t="s">
        <v>368</v>
      </c>
      <c r="E727" s="22" t="s">
        <v>90</v>
      </c>
      <c r="F727" s="31">
        <f>700-315.7</f>
        <v>384.3</v>
      </c>
      <c r="G727" s="31">
        <v>384.3</v>
      </c>
      <c r="H727" s="31">
        <f t="shared" si="38"/>
        <v>100</v>
      </c>
    </row>
    <row r="728" spans="1:8" s="24" customFormat="1" ht="24" x14ac:dyDescent="0.2">
      <c r="A728" s="61" t="s">
        <v>257</v>
      </c>
      <c r="B728" s="16" t="s">
        <v>88</v>
      </c>
      <c r="C728" s="16" t="s">
        <v>591</v>
      </c>
      <c r="D728" s="16" t="s">
        <v>613</v>
      </c>
      <c r="E728" s="16"/>
      <c r="F728" s="32">
        <f>F729</f>
        <v>600</v>
      </c>
      <c r="G728" s="32">
        <f>G729</f>
        <v>600</v>
      </c>
      <c r="H728" s="32">
        <f t="shared" si="38"/>
        <v>100</v>
      </c>
    </row>
    <row r="729" spans="1:8" s="24" customFormat="1" x14ac:dyDescent="0.2">
      <c r="A729" s="68" t="s">
        <v>186</v>
      </c>
      <c r="B729" s="22" t="s">
        <v>88</v>
      </c>
      <c r="C729" s="22" t="s">
        <v>591</v>
      </c>
      <c r="D729" s="22" t="s">
        <v>613</v>
      </c>
      <c r="E729" s="22" t="s">
        <v>185</v>
      </c>
      <c r="F729" s="31">
        <f>F730</f>
        <v>600</v>
      </c>
      <c r="G729" s="31">
        <f>G730</f>
        <v>600</v>
      </c>
      <c r="H729" s="31">
        <f t="shared" si="38"/>
        <v>100</v>
      </c>
    </row>
    <row r="730" spans="1:8" s="24" customFormat="1" x14ac:dyDescent="0.2">
      <c r="A730" s="68" t="s">
        <v>187</v>
      </c>
      <c r="B730" s="22" t="s">
        <v>88</v>
      </c>
      <c r="C730" s="22" t="s">
        <v>591</v>
      </c>
      <c r="D730" s="22" t="s">
        <v>613</v>
      </c>
      <c r="E730" s="22" t="s">
        <v>188</v>
      </c>
      <c r="F730" s="31">
        <v>600</v>
      </c>
      <c r="G730" s="31">
        <v>600</v>
      </c>
      <c r="H730" s="31">
        <f t="shared" si="38"/>
        <v>100</v>
      </c>
    </row>
    <row r="731" spans="1:8" s="24" customFormat="1" x14ac:dyDescent="0.2">
      <c r="A731" s="67" t="s">
        <v>567</v>
      </c>
      <c r="B731" s="17" t="s">
        <v>88</v>
      </c>
      <c r="C731" s="17" t="s">
        <v>591</v>
      </c>
      <c r="D731" s="17" t="s">
        <v>293</v>
      </c>
      <c r="E731" s="16"/>
      <c r="F731" s="35">
        <f>F732</f>
        <v>63121.682750000007</v>
      </c>
      <c r="G731" s="35">
        <f>G732</f>
        <v>63121.601000000002</v>
      </c>
      <c r="H731" s="35">
        <f t="shared" si="38"/>
        <v>99.999870488243587</v>
      </c>
    </row>
    <row r="732" spans="1:8" s="24" customFormat="1" x14ac:dyDescent="0.2">
      <c r="A732" s="64" t="s">
        <v>381</v>
      </c>
      <c r="B732" s="16" t="s">
        <v>88</v>
      </c>
      <c r="C732" s="16" t="s">
        <v>591</v>
      </c>
      <c r="D732" s="16" t="s">
        <v>294</v>
      </c>
      <c r="E732" s="16"/>
      <c r="F732" s="32">
        <f>F736+F739+F733</f>
        <v>63121.682750000007</v>
      </c>
      <c r="G732" s="32">
        <f>G736+G739+G733</f>
        <v>63121.601000000002</v>
      </c>
      <c r="H732" s="32">
        <f t="shared" si="38"/>
        <v>99.999870488243587</v>
      </c>
    </row>
    <row r="733" spans="1:8" s="24" customFormat="1" x14ac:dyDescent="0.2">
      <c r="A733" s="64" t="s">
        <v>171</v>
      </c>
      <c r="B733" s="16" t="s">
        <v>88</v>
      </c>
      <c r="C733" s="16" t="s">
        <v>591</v>
      </c>
      <c r="D733" s="78" t="s">
        <v>172</v>
      </c>
      <c r="E733" s="16"/>
      <c r="F733" s="32">
        <f>F734</f>
        <v>59248.182750000007</v>
      </c>
      <c r="G733" s="32">
        <f>G734</f>
        <v>59248.182000000001</v>
      </c>
      <c r="H733" s="32">
        <f t="shared" si="38"/>
        <v>99.999998734138387</v>
      </c>
    </row>
    <row r="734" spans="1:8" s="24" customFormat="1" x14ac:dyDescent="0.2">
      <c r="A734" s="68" t="s">
        <v>186</v>
      </c>
      <c r="B734" s="22" t="s">
        <v>88</v>
      </c>
      <c r="C734" s="22" t="s">
        <v>591</v>
      </c>
      <c r="D734" s="79" t="s">
        <v>172</v>
      </c>
      <c r="E734" s="22" t="s">
        <v>185</v>
      </c>
      <c r="F734" s="31">
        <f>F735</f>
        <v>59248.182750000007</v>
      </c>
      <c r="G734" s="31">
        <f>G735</f>
        <v>59248.182000000001</v>
      </c>
      <c r="H734" s="31">
        <f t="shared" si="38"/>
        <v>99.999998734138387</v>
      </c>
    </row>
    <row r="735" spans="1:8" s="24" customFormat="1" x14ac:dyDescent="0.2">
      <c r="A735" s="68" t="s">
        <v>187</v>
      </c>
      <c r="B735" s="22" t="s">
        <v>88</v>
      </c>
      <c r="C735" s="22" t="s">
        <v>591</v>
      </c>
      <c r="D735" s="79" t="s">
        <v>172</v>
      </c>
      <c r="E735" s="22" t="s">
        <v>188</v>
      </c>
      <c r="F735" s="31">
        <f>24365.51175+34882.671</f>
        <v>59248.182750000007</v>
      </c>
      <c r="G735" s="31">
        <v>59248.182000000001</v>
      </c>
      <c r="H735" s="31">
        <f t="shared" si="38"/>
        <v>99.999998734138387</v>
      </c>
    </row>
    <row r="736" spans="1:8" s="24" customFormat="1" x14ac:dyDescent="0.2">
      <c r="A736" s="64" t="s">
        <v>577</v>
      </c>
      <c r="B736" s="16" t="s">
        <v>88</v>
      </c>
      <c r="C736" s="16" t="s">
        <v>591</v>
      </c>
      <c r="D736" s="78" t="s">
        <v>13</v>
      </c>
      <c r="E736" s="16"/>
      <c r="F736" s="32">
        <f>F737</f>
        <v>1959.5</v>
      </c>
      <c r="G736" s="32">
        <f>G737</f>
        <v>1959.4190000000001</v>
      </c>
      <c r="H736" s="32">
        <f t="shared" si="38"/>
        <v>99.995866292421539</v>
      </c>
    </row>
    <row r="737" spans="1:8" s="24" customFormat="1" x14ac:dyDescent="0.2">
      <c r="A737" s="68" t="s">
        <v>186</v>
      </c>
      <c r="B737" s="22" t="s">
        <v>88</v>
      </c>
      <c r="C737" s="22" t="s">
        <v>591</v>
      </c>
      <c r="D737" s="79" t="s">
        <v>13</v>
      </c>
      <c r="E737" s="22" t="s">
        <v>185</v>
      </c>
      <c r="F737" s="31">
        <f>F738</f>
        <v>1959.5</v>
      </c>
      <c r="G737" s="31">
        <f>G738</f>
        <v>1959.4190000000001</v>
      </c>
      <c r="H737" s="31">
        <f t="shared" si="38"/>
        <v>99.995866292421539</v>
      </c>
    </row>
    <row r="738" spans="1:8" s="24" customFormat="1" x14ac:dyDescent="0.2">
      <c r="A738" s="68" t="s">
        <v>187</v>
      </c>
      <c r="B738" s="22" t="s">
        <v>88</v>
      </c>
      <c r="C738" s="22" t="s">
        <v>591</v>
      </c>
      <c r="D738" s="79" t="s">
        <v>13</v>
      </c>
      <c r="E738" s="22" t="s">
        <v>188</v>
      </c>
      <c r="F738" s="31">
        <f>3000-1040.5</f>
        <v>1959.5</v>
      </c>
      <c r="G738" s="31">
        <v>1959.4190000000001</v>
      </c>
      <c r="H738" s="31">
        <f t="shared" si="38"/>
        <v>99.995866292421539</v>
      </c>
    </row>
    <row r="739" spans="1:8" s="24" customFormat="1" x14ac:dyDescent="0.2">
      <c r="A739" s="64" t="s">
        <v>182</v>
      </c>
      <c r="B739" s="16" t="s">
        <v>88</v>
      </c>
      <c r="C739" s="16" t="s">
        <v>591</v>
      </c>
      <c r="D739" s="16" t="s">
        <v>408</v>
      </c>
      <c r="E739" s="16"/>
      <c r="F739" s="32">
        <f>F740+F742+F744</f>
        <v>1914</v>
      </c>
      <c r="G739" s="32">
        <f>G740+G742+G744</f>
        <v>1914</v>
      </c>
      <c r="H739" s="32">
        <f t="shared" si="38"/>
        <v>100</v>
      </c>
    </row>
    <row r="740" spans="1:8" s="24" customFormat="1" x14ac:dyDescent="0.2">
      <c r="A740" s="68" t="s">
        <v>186</v>
      </c>
      <c r="B740" s="22" t="s">
        <v>88</v>
      </c>
      <c r="C740" s="22" t="s">
        <v>591</v>
      </c>
      <c r="D740" s="22" t="s">
        <v>408</v>
      </c>
      <c r="E740" s="22" t="s">
        <v>185</v>
      </c>
      <c r="F740" s="31">
        <f>F741</f>
        <v>730</v>
      </c>
      <c r="G740" s="31">
        <f>G741</f>
        <v>730</v>
      </c>
      <c r="H740" s="31">
        <f t="shared" si="38"/>
        <v>100</v>
      </c>
    </row>
    <row r="741" spans="1:8" s="24" customFormat="1" x14ac:dyDescent="0.2">
      <c r="A741" s="68" t="s">
        <v>236</v>
      </c>
      <c r="B741" s="22" t="s">
        <v>88</v>
      </c>
      <c r="C741" s="22" t="s">
        <v>591</v>
      </c>
      <c r="D741" s="22" t="s">
        <v>408</v>
      </c>
      <c r="E741" s="22" t="s">
        <v>91</v>
      </c>
      <c r="F741" s="31">
        <f>150+50+80+50+185+215</f>
        <v>730</v>
      </c>
      <c r="G741" s="31">
        <v>730</v>
      </c>
      <c r="H741" s="31">
        <f t="shared" si="38"/>
        <v>100</v>
      </c>
    </row>
    <row r="742" spans="1:8" s="24" customFormat="1" x14ac:dyDescent="0.2">
      <c r="A742" s="68" t="s">
        <v>378</v>
      </c>
      <c r="B742" s="22" t="s">
        <v>88</v>
      </c>
      <c r="C742" s="22" t="s">
        <v>591</v>
      </c>
      <c r="D742" s="22" t="s">
        <v>408</v>
      </c>
      <c r="E742" s="22" t="s">
        <v>175</v>
      </c>
      <c r="F742" s="31">
        <f>F743</f>
        <v>414</v>
      </c>
      <c r="G742" s="31">
        <f>G743</f>
        <v>414</v>
      </c>
      <c r="H742" s="31">
        <f t="shared" si="38"/>
        <v>100</v>
      </c>
    </row>
    <row r="743" spans="1:8" s="24" customFormat="1" x14ac:dyDescent="0.2">
      <c r="A743" s="68" t="s">
        <v>176</v>
      </c>
      <c r="B743" s="22" t="s">
        <v>88</v>
      </c>
      <c r="C743" s="22" t="s">
        <v>591</v>
      </c>
      <c r="D743" s="22" t="s">
        <v>408</v>
      </c>
      <c r="E743" s="22" t="s">
        <v>177</v>
      </c>
      <c r="F743" s="31">
        <f>207+207</f>
        <v>414</v>
      </c>
      <c r="G743" s="31">
        <v>414</v>
      </c>
      <c r="H743" s="31">
        <f t="shared" si="38"/>
        <v>100</v>
      </c>
    </row>
    <row r="744" spans="1:8" s="24" customFormat="1" x14ac:dyDescent="0.2">
      <c r="A744" s="68" t="s">
        <v>191</v>
      </c>
      <c r="B744" s="22" t="s">
        <v>88</v>
      </c>
      <c r="C744" s="22" t="s">
        <v>591</v>
      </c>
      <c r="D744" s="22" t="s">
        <v>408</v>
      </c>
      <c r="E744" s="22" t="s">
        <v>522</v>
      </c>
      <c r="F744" s="31">
        <f>F745</f>
        <v>770</v>
      </c>
      <c r="G744" s="31">
        <f>G745</f>
        <v>770</v>
      </c>
      <c r="H744" s="31">
        <f t="shared" si="38"/>
        <v>100</v>
      </c>
    </row>
    <row r="745" spans="1:8" s="24" customFormat="1" x14ac:dyDescent="0.2">
      <c r="A745" s="68" t="s">
        <v>192</v>
      </c>
      <c r="B745" s="22" t="s">
        <v>88</v>
      </c>
      <c r="C745" s="22" t="s">
        <v>591</v>
      </c>
      <c r="D745" s="22" t="s">
        <v>408</v>
      </c>
      <c r="E745" s="22" t="s">
        <v>536</v>
      </c>
      <c r="F745" s="31">
        <v>770</v>
      </c>
      <c r="G745" s="31">
        <v>770</v>
      </c>
      <c r="H745" s="31">
        <f t="shared" si="38"/>
        <v>100</v>
      </c>
    </row>
    <row r="746" spans="1:8" s="24" customFormat="1" x14ac:dyDescent="0.2">
      <c r="A746" s="64" t="s">
        <v>508</v>
      </c>
      <c r="B746" s="16" t="s">
        <v>88</v>
      </c>
      <c r="C746" s="16" t="s">
        <v>167</v>
      </c>
      <c r="D746" s="16"/>
      <c r="E746" s="16"/>
      <c r="F746" s="32">
        <f t="shared" ref="F746:G750" si="44">F747</f>
        <v>17006.023399999998</v>
      </c>
      <c r="G746" s="32">
        <f t="shared" si="44"/>
        <v>16843.666000000001</v>
      </c>
      <c r="H746" s="32">
        <f t="shared" si="38"/>
        <v>99.045294739509785</v>
      </c>
    </row>
    <row r="747" spans="1:8" s="24" customFormat="1" ht="27" x14ac:dyDescent="0.2">
      <c r="A747" s="70" t="s">
        <v>602</v>
      </c>
      <c r="B747" s="43" t="s">
        <v>88</v>
      </c>
      <c r="C747" s="43" t="s">
        <v>167</v>
      </c>
      <c r="D747" s="43" t="s">
        <v>240</v>
      </c>
      <c r="E747" s="17"/>
      <c r="F747" s="47">
        <f t="shared" si="44"/>
        <v>17006.023399999998</v>
      </c>
      <c r="G747" s="47">
        <f t="shared" si="44"/>
        <v>16843.666000000001</v>
      </c>
      <c r="H747" s="35">
        <f t="shared" si="38"/>
        <v>99.045294739509785</v>
      </c>
    </row>
    <row r="748" spans="1:8" s="24" customFormat="1" x14ac:dyDescent="0.2">
      <c r="A748" s="64" t="s">
        <v>366</v>
      </c>
      <c r="B748" s="16" t="s">
        <v>88</v>
      </c>
      <c r="C748" s="16" t="s">
        <v>167</v>
      </c>
      <c r="D748" s="16" t="s">
        <v>249</v>
      </c>
      <c r="E748" s="16"/>
      <c r="F748" s="32">
        <f t="shared" si="44"/>
        <v>17006.023399999998</v>
      </c>
      <c r="G748" s="32">
        <f t="shared" si="44"/>
        <v>16843.666000000001</v>
      </c>
      <c r="H748" s="32">
        <f t="shared" si="38"/>
        <v>99.045294739509785</v>
      </c>
    </row>
    <row r="749" spans="1:8" s="24" customFormat="1" ht="36" x14ac:dyDescent="0.2">
      <c r="A749" s="53" t="s">
        <v>85</v>
      </c>
      <c r="B749" s="25" t="s">
        <v>88</v>
      </c>
      <c r="C749" s="25" t="s">
        <v>167</v>
      </c>
      <c r="D749" s="25" t="s">
        <v>367</v>
      </c>
      <c r="E749" s="25"/>
      <c r="F749" s="85">
        <f t="shared" si="44"/>
        <v>17006.023399999998</v>
      </c>
      <c r="G749" s="85">
        <f t="shared" si="44"/>
        <v>16843.666000000001</v>
      </c>
      <c r="H749" s="31">
        <f t="shared" si="38"/>
        <v>99.045294739509785</v>
      </c>
    </row>
    <row r="750" spans="1:8" s="24" customFormat="1" x14ac:dyDescent="0.2">
      <c r="A750" s="68" t="s">
        <v>186</v>
      </c>
      <c r="B750" s="22" t="s">
        <v>88</v>
      </c>
      <c r="C750" s="22" t="s">
        <v>167</v>
      </c>
      <c r="D750" s="22" t="s">
        <v>367</v>
      </c>
      <c r="E750" s="22" t="s">
        <v>185</v>
      </c>
      <c r="F750" s="31">
        <f t="shared" si="44"/>
        <v>17006.023399999998</v>
      </c>
      <c r="G750" s="31">
        <f t="shared" si="44"/>
        <v>16843.666000000001</v>
      </c>
      <c r="H750" s="31">
        <f t="shared" ref="H750:H805" si="45">G750/F750*100</f>
        <v>99.045294739509785</v>
      </c>
    </row>
    <row r="751" spans="1:8" s="24" customFormat="1" x14ac:dyDescent="0.2">
      <c r="A751" s="68" t="s">
        <v>236</v>
      </c>
      <c r="B751" s="22" t="s">
        <v>88</v>
      </c>
      <c r="C751" s="22" t="s">
        <v>167</v>
      </c>
      <c r="D751" s="22" t="s">
        <v>367</v>
      </c>
      <c r="E751" s="22" t="s">
        <v>91</v>
      </c>
      <c r="F751" s="31">
        <f>13500+3506.0234</f>
        <v>17006.023399999998</v>
      </c>
      <c r="G751" s="31">
        <v>16843.666000000001</v>
      </c>
      <c r="H751" s="31">
        <f t="shared" si="45"/>
        <v>99.045294739509785</v>
      </c>
    </row>
    <row r="752" spans="1:8" s="24" customFormat="1" ht="15.75" x14ac:dyDescent="0.2">
      <c r="A752" s="64" t="s">
        <v>511</v>
      </c>
      <c r="B752" s="16" t="s">
        <v>181</v>
      </c>
      <c r="C752" s="16" t="s">
        <v>166</v>
      </c>
      <c r="D752" s="36"/>
      <c r="E752" s="36"/>
      <c r="F752" s="32">
        <f>F753+F759+F767</f>
        <v>10050.55356</v>
      </c>
      <c r="G752" s="32">
        <f>G753+G759+G767</f>
        <v>9515.2999999999993</v>
      </c>
      <c r="H752" s="32">
        <f t="shared" si="45"/>
        <v>94.674387268276988</v>
      </c>
    </row>
    <row r="753" spans="1:8" s="24" customFormat="1" ht="15.75" x14ac:dyDescent="0.2">
      <c r="A753" s="64" t="s">
        <v>152</v>
      </c>
      <c r="B753" s="16" t="s">
        <v>181</v>
      </c>
      <c r="C753" s="16" t="s">
        <v>165</v>
      </c>
      <c r="D753" s="36"/>
      <c r="E753" s="36"/>
      <c r="F753" s="32">
        <f t="shared" ref="F753:G757" si="46">F754</f>
        <v>4000</v>
      </c>
      <c r="G753" s="32">
        <f t="shared" si="46"/>
        <v>3494.6</v>
      </c>
      <c r="H753" s="32">
        <f t="shared" si="45"/>
        <v>87.364999999999995</v>
      </c>
    </row>
    <row r="754" spans="1:8" s="24" customFormat="1" ht="27" x14ac:dyDescent="0.2">
      <c r="A754" s="70" t="s">
        <v>67</v>
      </c>
      <c r="B754" s="43" t="s">
        <v>181</v>
      </c>
      <c r="C754" s="43" t="s">
        <v>165</v>
      </c>
      <c r="D754" s="43" t="s">
        <v>129</v>
      </c>
      <c r="E754" s="43"/>
      <c r="F754" s="47">
        <f t="shared" si="46"/>
        <v>4000</v>
      </c>
      <c r="G754" s="47">
        <f t="shared" si="46"/>
        <v>3494.6</v>
      </c>
      <c r="H754" s="47">
        <f t="shared" si="45"/>
        <v>87.364999999999995</v>
      </c>
    </row>
    <row r="755" spans="1:8" s="24" customFormat="1" ht="24" x14ac:dyDescent="0.2">
      <c r="A755" s="64" t="s">
        <v>153</v>
      </c>
      <c r="B755" s="16" t="s">
        <v>181</v>
      </c>
      <c r="C755" s="16" t="s">
        <v>165</v>
      </c>
      <c r="D755" s="16" t="s">
        <v>155</v>
      </c>
      <c r="E755" s="36"/>
      <c r="F755" s="32">
        <f t="shared" si="46"/>
        <v>4000</v>
      </c>
      <c r="G755" s="32">
        <f t="shared" si="46"/>
        <v>3494.6</v>
      </c>
      <c r="H755" s="32">
        <f t="shared" si="45"/>
        <v>87.364999999999995</v>
      </c>
    </row>
    <row r="756" spans="1:8" s="24" customFormat="1" ht="24" x14ac:dyDescent="0.2">
      <c r="A756" s="67" t="s">
        <v>451</v>
      </c>
      <c r="B756" s="17" t="s">
        <v>181</v>
      </c>
      <c r="C756" s="17" t="s">
        <v>165</v>
      </c>
      <c r="D756" s="17" t="s">
        <v>71</v>
      </c>
      <c r="E756" s="17"/>
      <c r="F756" s="35">
        <f t="shared" si="46"/>
        <v>4000</v>
      </c>
      <c r="G756" s="35">
        <f t="shared" si="46"/>
        <v>3494.6</v>
      </c>
      <c r="H756" s="32">
        <f t="shared" si="45"/>
        <v>87.364999999999995</v>
      </c>
    </row>
    <row r="757" spans="1:8" s="24" customFormat="1" x14ac:dyDescent="0.2">
      <c r="A757" s="68" t="s">
        <v>378</v>
      </c>
      <c r="B757" s="22" t="s">
        <v>181</v>
      </c>
      <c r="C757" s="22" t="s">
        <v>165</v>
      </c>
      <c r="D757" s="22" t="s">
        <v>71</v>
      </c>
      <c r="E757" s="22" t="s">
        <v>175</v>
      </c>
      <c r="F757" s="31">
        <f t="shared" si="46"/>
        <v>4000</v>
      </c>
      <c r="G757" s="31">
        <f t="shared" si="46"/>
        <v>3494.6</v>
      </c>
      <c r="H757" s="31">
        <f t="shared" si="45"/>
        <v>87.364999999999995</v>
      </c>
    </row>
    <row r="758" spans="1:8" s="24" customFormat="1" x14ac:dyDescent="0.2">
      <c r="A758" s="68" t="s">
        <v>176</v>
      </c>
      <c r="B758" s="22" t="s">
        <v>181</v>
      </c>
      <c r="C758" s="22" t="s">
        <v>165</v>
      </c>
      <c r="D758" s="22" t="s">
        <v>71</v>
      </c>
      <c r="E758" s="22" t="s">
        <v>177</v>
      </c>
      <c r="F758" s="31">
        <v>4000</v>
      </c>
      <c r="G758" s="31">
        <v>3494.6</v>
      </c>
      <c r="H758" s="31">
        <f t="shared" si="45"/>
        <v>87.364999999999995</v>
      </c>
    </row>
    <row r="759" spans="1:8" s="24" customFormat="1" x14ac:dyDescent="0.2">
      <c r="A759" s="64" t="s">
        <v>235</v>
      </c>
      <c r="B759" s="34" t="s">
        <v>181</v>
      </c>
      <c r="C759" s="34" t="s">
        <v>599</v>
      </c>
      <c r="D759" s="22"/>
      <c r="E759" s="34"/>
      <c r="F759" s="32">
        <f>F760</f>
        <v>2275.6835599999999</v>
      </c>
      <c r="G759" s="32">
        <f>G760</f>
        <v>2275.683</v>
      </c>
      <c r="H759" s="32">
        <f t="shared" si="45"/>
        <v>99.999975392009262</v>
      </c>
    </row>
    <row r="760" spans="1:8" s="24" customFormat="1" ht="27" x14ac:dyDescent="0.2">
      <c r="A760" s="70" t="s">
        <v>439</v>
      </c>
      <c r="B760" s="43" t="s">
        <v>181</v>
      </c>
      <c r="C760" s="43" t="s">
        <v>599</v>
      </c>
      <c r="D760" s="43" t="s">
        <v>353</v>
      </c>
      <c r="E760" s="43"/>
      <c r="F760" s="47">
        <f>F761+F764</f>
        <v>2275.6835599999999</v>
      </c>
      <c r="G760" s="47">
        <f>G761+G764</f>
        <v>2275.683</v>
      </c>
      <c r="H760" s="35">
        <f t="shared" si="45"/>
        <v>99.999975392009262</v>
      </c>
    </row>
    <row r="761" spans="1:8" s="24" customFormat="1" x14ac:dyDescent="0.2">
      <c r="A761" s="64" t="s">
        <v>9</v>
      </c>
      <c r="B761" s="16" t="s">
        <v>181</v>
      </c>
      <c r="C761" s="16" t="s">
        <v>599</v>
      </c>
      <c r="D761" s="16" t="s">
        <v>10</v>
      </c>
      <c r="E761" s="16"/>
      <c r="F761" s="32">
        <f>F762</f>
        <v>2267.2249999999999</v>
      </c>
      <c r="G761" s="32">
        <f>G762</f>
        <v>2267.2249999999999</v>
      </c>
      <c r="H761" s="32">
        <f t="shared" si="45"/>
        <v>100</v>
      </c>
    </row>
    <row r="762" spans="1:8" s="24" customFormat="1" x14ac:dyDescent="0.2">
      <c r="A762" s="68" t="s">
        <v>378</v>
      </c>
      <c r="B762" s="42" t="s">
        <v>181</v>
      </c>
      <c r="C762" s="42" t="s">
        <v>599</v>
      </c>
      <c r="D762" s="22" t="s">
        <v>10</v>
      </c>
      <c r="E762" s="22" t="s">
        <v>175</v>
      </c>
      <c r="F762" s="31">
        <f>F763</f>
        <v>2267.2249999999999</v>
      </c>
      <c r="G762" s="31">
        <f>G763</f>
        <v>2267.2249999999999</v>
      </c>
      <c r="H762" s="31">
        <f t="shared" si="45"/>
        <v>100</v>
      </c>
    </row>
    <row r="763" spans="1:8" s="24" customFormat="1" x14ac:dyDescent="0.2">
      <c r="A763" s="68" t="s">
        <v>176</v>
      </c>
      <c r="B763" s="22" t="s">
        <v>181</v>
      </c>
      <c r="C763" s="22" t="s">
        <v>599</v>
      </c>
      <c r="D763" s="22" t="s">
        <v>10</v>
      </c>
      <c r="E763" s="22" t="s">
        <v>177</v>
      </c>
      <c r="F763" s="31">
        <f>2500-232.775</f>
        <v>2267.2249999999999</v>
      </c>
      <c r="G763" s="31">
        <v>2267.2249999999999</v>
      </c>
      <c r="H763" s="31">
        <f t="shared" si="45"/>
        <v>100</v>
      </c>
    </row>
    <row r="764" spans="1:8" s="24" customFormat="1" x14ac:dyDescent="0.2">
      <c r="A764" s="64" t="s">
        <v>307</v>
      </c>
      <c r="B764" s="16" t="s">
        <v>181</v>
      </c>
      <c r="C764" s="16" t="s">
        <v>599</v>
      </c>
      <c r="D764" s="16" t="s">
        <v>618</v>
      </c>
      <c r="E764" s="16"/>
      <c r="F764" s="32">
        <f>F765</f>
        <v>8.4585600000000003</v>
      </c>
      <c r="G764" s="32">
        <f>G765</f>
        <v>8.4580000000000002</v>
      </c>
      <c r="H764" s="32">
        <f t="shared" si="45"/>
        <v>99.993379487761516</v>
      </c>
    </row>
    <row r="765" spans="1:8" s="24" customFormat="1" x14ac:dyDescent="0.2">
      <c r="A765" s="68" t="s">
        <v>378</v>
      </c>
      <c r="B765" s="22" t="s">
        <v>181</v>
      </c>
      <c r="C765" s="22" t="s">
        <v>599</v>
      </c>
      <c r="D765" s="22" t="s">
        <v>618</v>
      </c>
      <c r="E765" s="22" t="s">
        <v>175</v>
      </c>
      <c r="F765" s="31">
        <f>F766</f>
        <v>8.4585600000000003</v>
      </c>
      <c r="G765" s="31">
        <f>G766</f>
        <v>8.4580000000000002</v>
      </c>
      <c r="H765" s="31">
        <f t="shared" si="45"/>
        <v>99.993379487761516</v>
      </c>
    </row>
    <row r="766" spans="1:8" s="24" customFormat="1" x14ac:dyDescent="0.2">
      <c r="A766" s="68" t="s">
        <v>176</v>
      </c>
      <c r="B766" s="22" t="s">
        <v>181</v>
      </c>
      <c r="C766" s="22" t="s">
        <v>599</v>
      </c>
      <c r="D766" s="22" t="s">
        <v>618</v>
      </c>
      <c r="E766" s="22" t="s">
        <v>177</v>
      </c>
      <c r="F766" s="31">
        <v>8.4585600000000003</v>
      </c>
      <c r="G766" s="31">
        <v>8.4580000000000002</v>
      </c>
      <c r="H766" s="31">
        <f t="shared" si="45"/>
        <v>99.993379487761516</v>
      </c>
    </row>
    <row r="767" spans="1:8" s="24" customFormat="1" x14ac:dyDescent="0.2">
      <c r="A767" s="64" t="s">
        <v>267</v>
      </c>
      <c r="B767" s="16" t="s">
        <v>181</v>
      </c>
      <c r="C767" s="16" t="s">
        <v>542</v>
      </c>
      <c r="D767" s="16"/>
      <c r="E767" s="16"/>
      <c r="F767" s="32">
        <f>F768+F779</f>
        <v>3774.87</v>
      </c>
      <c r="G767" s="32">
        <f>G768+G779</f>
        <v>3745.0169999999998</v>
      </c>
      <c r="H767" s="32">
        <f t="shared" si="45"/>
        <v>99.209164818920911</v>
      </c>
    </row>
    <row r="768" spans="1:8" s="24" customFormat="1" ht="27" x14ac:dyDescent="0.2">
      <c r="A768" s="70" t="s">
        <v>67</v>
      </c>
      <c r="B768" s="43" t="s">
        <v>181</v>
      </c>
      <c r="C768" s="43" t="s">
        <v>542</v>
      </c>
      <c r="D768" s="43" t="s">
        <v>129</v>
      </c>
      <c r="E768" s="16"/>
      <c r="F768" s="47">
        <f>F769</f>
        <v>3720</v>
      </c>
      <c r="G768" s="47">
        <f>G769</f>
        <v>3690.1469999999999</v>
      </c>
      <c r="H768" s="35">
        <f t="shared" si="45"/>
        <v>99.197499999999991</v>
      </c>
    </row>
    <row r="769" spans="1:8" s="24" customFormat="1" x14ac:dyDescent="0.2">
      <c r="A769" s="64" t="s">
        <v>156</v>
      </c>
      <c r="B769" s="16" t="s">
        <v>181</v>
      </c>
      <c r="C769" s="16" t="s">
        <v>542</v>
      </c>
      <c r="D769" s="16" t="s">
        <v>157</v>
      </c>
      <c r="E769" s="16"/>
      <c r="F769" s="32">
        <f>F770+F774</f>
        <v>3720</v>
      </c>
      <c r="G769" s="32">
        <f>G770+G774</f>
        <v>3690.1469999999999</v>
      </c>
      <c r="H769" s="32">
        <f t="shared" si="45"/>
        <v>99.197499999999991</v>
      </c>
    </row>
    <row r="770" spans="1:8" s="24" customFormat="1" ht="24" x14ac:dyDescent="0.2">
      <c r="A770" s="64" t="s">
        <v>397</v>
      </c>
      <c r="B770" s="16" t="s">
        <v>181</v>
      </c>
      <c r="C770" s="16" t="s">
        <v>542</v>
      </c>
      <c r="D770" s="16" t="s">
        <v>158</v>
      </c>
      <c r="E770" s="16"/>
      <c r="F770" s="32">
        <f t="shared" ref="F770:G772" si="47">F771</f>
        <v>3635</v>
      </c>
      <c r="G770" s="32">
        <f t="shared" si="47"/>
        <v>3623.0729999999999</v>
      </c>
      <c r="H770" s="32">
        <f t="shared" si="45"/>
        <v>99.671884456671251</v>
      </c>
    </row>
    <row r="771" spans="1:8" s="24" customFormat="1" x14ac:dyDescent="0.2">
      <c r="A771" s="65" t="s">
        <v>380</v>
      </c>
      <c r="B771" s="17" t="s">
        <v>181</v>
      </c>
      <c r="C771" s="17" t="s">
        <v>542</v>
      </c>
      <c r="D771" s="17" t="s">
        <v>158</v>
      </c>
      <c r="E771" s="17"/>
      <c r="F771" s="35">
        <f t="shared" si="47"/>
        <v>3635</v>
      </c>
      <c r="G771" s="35">
        <f t="shared" si="47"/>
        <v>3623.0729999999999</v>
      </c>
      <c r="H771" s="35">
        <f t="shared" si="45"/>
        <v>99.671884456671251</v>
      </c>
    </row>
    <row r="772" spans="1:8" s="24" customFormat="1" ht="24" x14ac:dyDescent="0.2">
      <c r="A772" s="68" t="s">
        <v>168</v>
      </c>
      <c r="B772" s="22" t="s">
        <v>181</v>
      </c>
      <c r="C772" s="22" t="s">
        <v>542</v>
      </c>
      <c r="D772" s="22" t="s">
        <v>158</v>
      </c>
      <c r="E772" s="22" t="s">
        <v>169</v>
      </c>
      <c r="F772" s="31">
        <f t="shared" si="47"/>
        <v>3635</v>
      </c>
      <c r="G772" s="31">
        <f t="shared" si="47"/>
        <v>3623.0729999999999</v>
      </c>
      <c r="H772" s="31">
        <f t="shared" si="45"/>
        <v>99.671884456671251</v>
      </c>
    </row>
    <row r="773" spans="1:8" s="24" customFormat="1" x14ac:dyDescent="0.2">
      <c r="A773" s="68" t="s">
        <v>170</v>
      </c>
      <c r="B773" s="22" t="s">
        <v>181</v>
      </c>
      <c r="C773" s="22" t="s">
        <v>542</v>
      </c>
      <c r="D773" s="22" t="s">
        <v>158</v>
      </c>
      <c r="E773" s="22" t="s">
        <v>173</v>
      </c>
      <c r="F773" s="31">
        <f>2740+70+825</f>
        <v>3635</v>
      </c>
      <c r="G773" s="31">
        <v>3623.0729999999999</v>
      </c>
      <c r="H773" s="31">
        <f t="shared" si="45"/>
        <v>99.671884456671251</v>
      </c>
    </row>
    <row r="774" spans="1:8" s="24" customFormat="1" x14ac:dyDescent="0.2">
      <c r="A774" s="64" t="s">
        <v>174</v>
      </c>
      <c r="B774" s="16" t="s">
        <v>181</v>
      </c>
      <c r="C774" s="16" t="s">
        <v>542</v>
      </c>
      <c r="D774" s="16" t="s">
        <v>159</v>
      </c>
      <c r="E774" s="16"/>
      <c r="F774" s="32">
        <f>F775+F777</f>
        <v>85</v>
      </c>
      <c r="G774" s="32">
        <f>G775+G777</f>
        <v>67.074000000000012</v>
      </c>
      <c r="H774" s="32">
        <f t="shared" si="45"/>
        <v>78.910588235294128</v>
      </c>
    </row>
    <row r="775" spans="1:8" s="24" customFormat="1" x14ac:dyDescent="0.2">
      <c r="A775" s="68" t="s">
        <v>378</v>
      </c>
      <c r="B775" s="22" t="s">
        <v>181</v>
      </c>
      <c r="C775" s="22" t="s">
        <v>542</v>
      </c>
      <c r="D775" s="22" t="s">
        <v>159</v>
      </c>
      <c r="E775" s="22" t="s">
        <v>175</v>
      </c>
      <c r="F775" s="31">
        <f>F776</f>
        <v>75</v>
      </c>
      <c r="G775" s="31">
        <f>G776</f>
        <v>66.900000000000006</v>
      </c>
      <c r="H775" s="31">
        <f t="shared" si="45"/>
        <v>89.200000000000017</v>
      </c>
    </row>
    <row r="776" spans="1:8" s="24" customFormat="1" x14ac:dyDescent="0.2">
      <c r="A776" s="68" t="s">
        <v>176</v>
      </c>
      <c r="B776" s="22" t="s">
        <v>181</v>
      </c>
      <c r="C776" s="22" t="s">
        <v>542</v>
      </c>
      <c r="D776" s="22" t="s">
        <v>159</v>
      </c>
      <c r="E776" s="22" t="s">
        <v>177</v>
      </c>
      <c r="F776" s="31">
        <v>75</v>
      </c>
      <c r="G776" s="31">
        <v>66.900000000000006</v>
      </c>
      <c r="H776" s="31">
        <f t="shared" si="45"/>
        <v>89.200000000000017</v>
      </c>
    </row>
    <row r="777" spans="1:8" s="24" customFormat="1" x14ac:dyDescent="0.2">
      <c r="A777" s="68" t="s">
        <v>178</v>
      </c>
      <c r="B777" s="22" t="s">
        <v>181</v>
      </c>
      <c r="C777" s="22" t="s">
        <v>542</v>
      </c>
      <c r="D777" s="22" t="s">
        <v>159</v>
      </c>
      <c r="E777" s="22" t="s">
        <v>179</v>
      </c>
      <c r="F777" s="31">
        <f>F778</f>
        <v>10</v>
      </c>
      <c r="G777" s="31">
        <f>G778</f>
        <v>0.17399999999999999</v>
      </c>
      <c r="H777" s="31">
        <f t="shared" si="45"/>
        <v>1.7399999999999998</v>
      </c>
    </row>
    <row r="778" spans="1:8" s="24" customFormat="1" x14ac:dyDescent="0.2">
      <c r="A778" s="68" t="s">
        <v>87</v>
      </c>
      <c r="B778" s="22" t="s">
        <v>181</v>
      </c>
      <c r="C778" s="22" t="s">
        <v>542</v>
      </c>
      <c r="D778" s="22" t="s">
        <v>159</v>
      </c>
      <c r="E778" s="22" t="s">
        <v>180</v>
      </c>
      <c r="F778" s="31">
        <v>10</v>
      </c>
      <c r="G778" s="31">
        <v>0.17399999999999999</v>
      </c>
      <c r="H778" s="31">
        <f t="shared" si="45"/>
        <v>1.7399999999999998</v>
      </c>
    </row>
    <row r="779" spans="1:8" s="24" customFormat="1" x14ac:dyDescent="0.2">
      <c r="A779" s="65" t="s">
        <v>163</v>
      </c>
      <c r="B779" s="16" t="s">
        <v>181</v>
      </c>
      <c r="C779" s="16" t="s">
        <v>542</v>
      </c>
      <c r="D779" s="33" t="s">
        <v>293</v>
      </c>
      <c r="E779" s="16"/>
      <c r="F779" s="95">
        <f t="shared" ref="F779:G782" si="48">F780</f>
        <v>54.87</v>
      </c>
      <c r="G779" s="95">
        <f t="shared" si="48"/>
        <v>54.87</v>
      </c>
      <c r="H779" s="32">
        <f t="shared" si="45"/>
        <v>100</v>
      </c>
    </row>
    <row r="780" spans="1:8" s="24" customFormat="1" x14ac:dyDescent="0.2">
      <c r="A780" s="66" t="s">
        <v>381</v>
      </c>
      <c r="B780" s="16" t="s">
        <v>181</v>
      </c>
      <c r="C780" s="16" t="s">
        <v>542</v>
      </c>
      <c r="D780" s="33" t="s">
        <v>294</v>
      </c>
      <c r="E780" s="16"/>
      <c r="F780" s="95">
        <f t="shared" si="48"/>
        <v>54.87</v>
      </c>
      <c r="G780" s="95">
        <f t="shared" si="48"/>
        <v>54.87</v>
      </c>
      <c r="H780" s="32">
        <f t="shared" si="45"/>
        <v>100</v>
      </c>
    </row>
    <row r="781" spans="1:8" s="24" customFormat="1" ht="24" x14ac:dyDescent="0.2">
      <c r="A781" s="64" t="s">
        <v>632</v>
      </c>
      <c r="B781" s="16" t="s">
        <v>181</v>
      </c>
      <c r="C781" s="16" t="s">
        <v>542</v>
      </c>
      <c r="D781" s="16" t="s">
        <v>633</v>
      </c>
      <c r="E781" s="16"/>
      <c r="F781" s="32">
        <f t="shared" si="48"/>
        <v>54.87</v>
      </c>
      <c r="G781" s="32">
        <f t="shared" si="48"/>
        <v>54.87</v>
      </c>
      <c r="H781" s="32">
        <f t="shared" si="45"/>
        <v>100</v>
      </c>
    </row>
    <row r="782" spans="1:8" s="24" customFormat="1" ht="24" x14ac:dyDescent="0.2">
      <c r="A782" s="68" t="s">
        <v>168</v>
      </c>
      <c r="B782" s="22" t="s">
        <v>181</v>
      </c>
      <c r="C782" s="22" t="s">
        <v>542</v>
      </c>
      <c r="D782" s="22" t="s">
        <v>633</v>
      </c>
      <c r="E782" s="22" t="s">
        <v>169</v>
      </c>
      <c r="F782" s="31">
        <f t="shared" si="48"/>
        <v>54.87</v>
      </c>
      <c r="G782" s="31">
        <f t="shared" si="48"/>
        <v>54.87</v>
      </c>
      <c r="H782" s="31">
        <f t="shared" si="45"/>
        <v>100</v>
      </c>
    </row>
    <row r="783" spans="1:8" s="24" customFormat="1" x14ac:dyDescent="0.2">
      <c r="A783" s="68" t="s">
        <v>170</v>
      </c>
      <c r="B783" s="22" t="s">
        <v>181</v>
      </c>
      <c r="C783" s="22" t="s">
        <v>542</v>
      </c>
      <c r="D783" s="22" t="s">
        <v>633</v>
      </c>
      <c r="E783" s="22" t="s">
        <v>173</v>
      </c>
      <c r="F783" s="31">
        <v>54.87</v>
      </c>
      <c r="G783" s="31">
        <v>54.87</v>
      </c>
      <c r="H783" s="31">
        <f t="shared" si="45"/>
        <v>100</v>
      </c>
    </row>
    <row r="784" spans="1:8" s="24" customFormat="1" x14ac:dyDescent="0.2">
      <c r="A784" s="64" t="s">
        <v>512</v>
      </c>
      <c r="B784" s="16" t="s">
        <v>597</v>
      </c>
      <c r="C784" s="16" t="s">
        <v>166</v>
      </c>
      <c r="D784" s="16"/>
      <c r="E784" s="16"/>
      <c r="F784" s="32">
        <f>F785+F795</f>
        <v>11003.72</v>
      </c>
      <c r="G784" s="32">
        <f>G785+G795</f>
        <v>10303.720000000001</v>
      </c>
      <c r="H784" s="32">
        <f t="shared" si="45"/>
        <v>93.638514974935759</v>
      </c>
    </row>
    <row r="785" spans="1:8" s="24" customFormat="1" x14ac:dyDescent="0.2">
      <c r="A785" s="64" t="s">
        <v>499</v>
      </c>
      <c r="B785" s="16" t="s">
        <v>597</v>
      </c>
      <c r="C785" s="16" t="s">
        <v>165</v>
      </c>
      <c r="D785" s="16" t="s">
        <v>293</v>
      </c>
      <c r="E785" s="16"/>
      <c r="F785" s="32">
        <f t="shared" ref="F785:G787" si="49">F786</f>
        <v>4023.72</v>
      </c>
      <c r="G785" s="32">
        <f t="shared" si="49"/>
        <v>4023.7200000000003</v>
      </c>
      <c r="H785" s="32">
        <f t="shared" si="45"/>
        <v>100.00000000000003</v>
      </c>
    </row>
    <row r="786" spans="1:8" s="24" customFormat="1" x14ac:dyDescent="0.2">
      <c r="A786" s="64" t="s">
        <v>193</v>
      </c>
      <c r="B786" s="16" t="s">
        <v>597</v>
      </c>
      <c r="C786" s="16" t="s">
        <v>165</v>
      </c>
      <c r="D786" s="16" t="s">
        <v>294</v>
      </c>
      <c r="E786" s="16"/>
      <c r="F786" s="32">
        <f t="shared" si="49"/>
        <v>4023.72</v>
      </c>
      <c r="G786" s="32">
        <f t="shared" si="49"/>
        <v>4023.7200000000003</v>
      </c>
      <c r="H786" s="32">
        <f t="shared" si="45"/>
        <v>100.00000000000003</v>
      </c>
    </row>
    <row r="787" spans="1:8" s="24" customFormat="1" x14ac:dyDescent="0.2">
      <c r="A787" s="69" t="s">
        <v>593</v>
      </c>
      <c r="B787" s="25" t="s">
        <v>597</v>
      </c>
      <c r="C787" s="25" t="s">
        <v>165</v>
      </c>
      <c r="D787" s="25" t="s">
        <v>444</v>
      </c>
      <c r="E787" s="25"/>
      <c r="F787" s="85">
        <f t="shared" si="49"/>
        <v>4023.72</v>
      </c>
      <c r="G787" s="85">
        <f t="shared" si="49"/>
        <v>4023.7200000000003</v>
      </c>
      <c r="H787" s="31">
        <f t="shared" si="45"/>
        <v>100.00000000000003</v>
      </c>
    </row>
    <row r="788" spans="1:8" s="24" customFormat="1" x14ac:dyDescent="0.2">
      <c r="A788" s="64" t="s">
        <v>123</v>
      </c>
      <c r="B788" s="16" t="s">
        <v>597</v>
      </c>
      <c r="C788" s="16" t="s">
        <v>165</v>
      </c>
      <c r="D788" s="16" t="s">
        <v>444</v>
      </c>
      <c r="E788" s="16"/>
      <c r="F788" s="32">
        <f>F789+F791+F793</f>
        <v>4023.72</v>
      </c>
      <c r="G788" s="32">
        <f>G789+G791+G793</f>
        <v>4023.7200000000003</v>
      </c>
      <c r="H788" s="32">
        <f t="shared" si="45"/>
        <v>100.00000000000003</v>
      </c>
    </row>
    <row r="789" spans="1:8" s="24" customFormat="1" ht="24" x14ac:dyDescent="0.2">
      <c r="A789" s="68" t="s">
        <v>168</v>
      </c>
      <c r="B789" s="22" t="s">
        <v>597</v>
      </c>
      <c r="C789" s="22" t="s">
        <v>165</v>
      </c>
      <c r="D789" s="22" t="s">
        <v>444</v>
      </c>
      <c r="E789" s="22" t="s">
        <v>169</v>
      </c>
      <c r="F789" s="31">
        <f>F790</f>
        <v>3071</v>
      </c>
      <c r="G789" s="31">
        <f>G790</f>
        <v>3071</v>
      </c>
      <c r="H789" s="31">
        <f t="shared" si="45"/>
        <v>100</v>
      </c>
    </row>
    <row r="790" spans="1:8" s="24" customFormat="1" x14ac:dyDescent="0.2">
      <c r="A790" s="68" t="s">
        <v>594</v>
      </c>
      <c r="B790" s="22" t="s">
        <v>597</v>
      </c>
      <c r="C790" s="22" t="s">
        <v>165</v>
      </c>
      <c r="D790" s="22" t="s">
        <v>444</v>
      </c>
      <c r="E790" s="22" t="s">
        <v>595</v>
      </c>
      <c r="F790" s="31">
        <f>2271+114+686</f>
        <v>3071</v>
      </c>
      <c r="G790" s="31">
        <v>3071</v>
      </c>
      <c r="H790" s="31">
        <f t="shared" si="45"/>
        <v>100</v>
      </c>
    </row>
    <row r="791" spans="1:8" s="24" customFormat="1" x14ac:dyDescent="0.2">
      <c r="A791" s="68" t="s">
        <v>378</v>
      </c>
      <c r="B791" s="22" t="s">
        <v>597</v>
      </c>
      <c r="C791" s="22" t="s">
        <v>165</v>
      </c>
      <c r="D791" s="22" t="s">
        <v>444</v>
      </c>
      <c r="E791" s="22" t="s">
        <v>175</v>
      </c>
      <c r="F791" s="31">
        <f>F792</f>
        <v>948.71999999999991</v>
      </c>
      <c r="G791" s="31">
        <f>G792</f>
        <v>948.72</v>
      </c>
      <c r="H791" s="31">
        <f t="shared" si="45"/>
        <v>100.00000000000003</v>
      </c>
    </row>
    <row r="792" spans="1:8" s="24" customFormat="1" x14ac:dyDescent="0.2">
      <c r="A792" s="68" t="s">
        <v>176</v>
      </c>
      <c r="B792" s="22" t="s">
        <v>597</v>
      </c>
      <c r="C792" s="22" t="s">
        <v>165</v>
      </c>
      <c r="D792" s="22" t="s">
        <v>444</v>
      </c>
      <c r="E792" s="22" t="s">
        <v>177</v>
      </c>
      <c r="F792" s="31">
        <f>617+720-50-284.94-53.34</f>
        <v>948.71999999999991</v>
      </c>
      <c r="G792" s="31">
        <v>948.72</v>
      </c>
      <c r="H792" s="31">
        <f t="shared" si="45"/>
        <v>100.00000000000003</v>
      </c>
    </row>
    <row r="793" spans="1:8" s="24" customFormat="1" x14ac:dyDescent="0.2">
      <c r="A793" s="68" t="s">
        <v>178</v>
      </c>
      <c r="B793" s="22" t="s">
        <v>597</v>
      </c>
      <c r="C793" s="22" t="s">
        <v>165</v>
      </c>
      <c r="D793" s="22" t="s">
        <v>444</v>
      </c>
      <c r="E793" s="22" t="s">
        <v>179</v>
      </c>
      <c r="F793" s="31">
        <f>F794</f>
        <v>4</v>
      </c>
      <c r="G793" s="31">
        <f>G794</f>
        <v>4</v>
      </c>
      <c r="H793" s="31">
        <f t="shared" si="45"/>
        <v>100</v>
      </c>
    </row>
    <row r="794" spans="1:8" s="24" customFormat="1" x14ac:dyDescent="0.2">
      <c r="A794" s="68" t="s">
        <v>233</v>
      </c>
      <c r="B794" s="22" t="s">
        <v>597</v>
      </c>
      <c r="C794" s="22" t="s">
        <v>165</v>
      </c>
      <c r="D794" s="22" t="s">
        <v>444</v>
      </c>
      <c r="E794" s="22" t="s">
        <v>180</v>
      </c>
      <c r="F794" s="31">
        <f>6-2</f>
        <v>4</v>
      </c>
      <c r="G794" s="31">
        <v>4</v>
      </c>
      <c r="H794" s="31">
        <f t="shared" si="45"/>
        <v>100</v>
      </c>
    </row>
    <row r="795" spans="1:8" s="24" customFormat="1" ht="15.75" x14ac:dyDescent="0.2">
      <c r="A795" s="64" t="s">
        <v>500</v>
      </c>
      <c r="B795" s="16" t="s">
        <v>597</v>
      </c>
      <c r="C795" s="16" t="s">
        <v>599</v>
      </c>
      <c r="D795" s="16" t="s">
        <v>293</v>
      </c>
      <c r="E795" s="37"/>
      <c r="F795" s="32">
        <f t="shared" ref="F795:G798" si="50">F796</f>
        <v>6980</v>
      </c>
      <c r="G795" s="32">
        <f t="shared" si="50"/>
        <v>6280</v>
      </c>
      <c r="H795" s="32">
        <f t="shared" si="45"/>
        <v>89.971346704871053</v>
      </c>
    </row>
    <row r="796" spans="1:8" s="24" customFormat="1" x14ac:dyDescent="0.2">
      <c r="A796" s="64" t="s">
        <v>193</v>
      </c>
      <c r="B796" s="16" t="s">
        <v>597</v>
      </c>
      <c r="C796" s="16" t="s">
        <v>599</v>
      </c>
      <c r="D796" s="16" t="s">
        <v>294</v>
      </c>
      <c r="E796" s="16"/>
      <c r="F796" s="32">
        <f t="shared" si="50"/>
        <v>6980</v>
      </c>
      <c r="G796" s="32">
        <f t="shared" si="50"/>
        <v>6280</v>
      </c>
      <c r="H796" s="32">
        <f t="shared" si="45"/>
        <v>89.971346704871053</v>
      </c>
    </row>
    <row r="797" spans="1:8" s="24" customFormat="1" ht="24" x14ac:dyDescent="0.2">
      <c r="A797" s="64" t="s">
        <v>125</v>
      </c>
      <c r="B797" s="16" t="s">
        <v>597</v>
      </c>
      <c r="C797" s="16" t="s">
        <v>599</v>
      </c>
      <c r="D797" s="16" t="s">
        <v>445</v>
      </c>
      <c r="E797" s="16"/>
      <c r="F797" s="32">
        <f t="shared" si="50"/>
        <v>6980</v>
      </c>
      <c r="G797" s="32">
        <f t="shared" si="50"/>
        <v>6280</v>
      </c>
      <c r="H797" s="32">
        <f t="shared" si="45"/>
        <v>89.971346704871053</v>
      </c>
    </row>
    <row r="798" spans="1:8" s="24" customFormat="1" x14ac:dyDescent="0.2">
      <c r="A798" s="68" t="s">
        <v>191</v>
      </c>
      <c r="B798" s="22" t="s">
        <v>597</v>
      </c>
      <c r="C798" s="22" t="s">
        <v>599</v>
      </c>
      <c r="D798" s="22" t="s">
        <v>445</v>
      </c>
      <c r="E798" s="22" t="s">
        <v>522</v>
      </c>
      <c r="F798" s="31">
        <f t="shared" si="50"/>
        <v>6980</v>
      </c>
      <c r="G798" s="31">
        <f t="shared" si="50"/>
        <v>6280</v>
      </c>
      <c r="H798" s="31">
        <f t="shared" si="45"/>
        <v>89.971346704871053</v>
      </c>
    </row>
    <row r="799" spans="1:8" s="24" customFormat="1" x14ac:dyDescent="0.2">
      <c r="A799" s="68" t="s">
        <v>192</v>
      </c>
      <c r="B799" s="22" t="s">
        <v>597</v>
      </c>
      <c r="C799" s="22" t="s">
        <v>599</v>
      </c>
      <c r="D799" s="22" t="s">
        <v>445</v>
      </c>
      <c r="E799" s="22" t="s">
        <v>536</v>
      </c>
      <c r="F799" s="31">
        <f>7000-720+700</f>
        <v>6980</v>
      </c>
      <c r="G799" s="31">
        <v>6280</v>
      </c>
      <c r="H799" s="31">
        <f t="shared" si="45"/>
        <v>89.971346704871053</v>
      </c>
    </row>
    <row r="800" spans="1:8" s="24" customFormat="1" x14ac:dyDescent="0.2">
      <c r="A800" s="64" t="s">
        <v>513</v>
      </c>
      <c r="B800" s="16" t="s">
        <v>184</v>
      </c>
      <c r="C800" s="16" t="s">
        <v>166</v>
      </c>
      <c r="D800" s="16"/>
      <c r="E800" s="16"/>
      <c r="F800" s="32">
        <f t="shared" ref="F800:G804" si="51">F801</f>
        <v>95000</v>
      </c>
      <c r="G800" s="32">
        <f t="shared" si="51"/>
        <v>94130.884000000005</v>
      </c>
      <c r="H800" s="32">
        <f t="shared" si="45"/>
        <v>99.085141052631585</v>
      </c>
    </row>
    <row r="801" spans="1:8" s="24" customFormat="1" x14ac:dyDescent="0.2">
      <c r="A801" s="64" t="s">
        <v>381</v>
      </c>
      <c r="B801" s="16" t="s">
        <v>184</v>
      </c>
      <c r="C801" s="16" t="s">
        <v>165</v>
      </c>
      <c r="D801" s="33" t="s">
        <v>294</v>
      </c>
      <c r="E801" s="16"/>
      <c r="F801" s="32">
        <f t="shared" si="51"/>
        <v>95000</v>
      </c>
      <c r="G801" s="32">
        <f t="shared" si="51"/>
        <v>94130.884000000005</v>
      </c>
      <c r="H801" s="32">
        <f t="shared" si="45"/>
        <v>99.085141052631585</v>
      </c>
    </row>
    <row r="802" spans="1:8" s="24" customFormat="1" ht="15.75" x14ac:dyDescent="0.2">
      <c r="A802" s="64" t="s">
        <v>538</v>
      </c>
      <c r="B802" s="16" t="s">
        <v>184</v>
      </c>
      <c r="C802" s="16" t="s">
        <v>165</v>
      </c>
      <c r="D802" s="16" t="s">
        <v>33</v>
      </c>
      <c r="E802" s="37"/>
      <c r="F802" s="32">
        <f t="shared" si="51"/>
        <v>95000</v>
      </c>
      <c r="G802" s="32">
        <f t="shared" si="51"/>
        <v>94130.884000000005</v>
      </c>
      <c r="H802" s="32">
        <f t="shared" si="45"/>
        <v>99.085141052631585</v>
      </c>
    </row>
    <row r="803" spans="1:8" s="24" customFormat="1" x14ac:dyDescent="0.2">
      <c r="A803" s="69" t="s">
        <v>403</v>
      </c>
      <c r="B803" s="25" t="s">
        <v>184</v>
      </c>
      <c r="C803" s="25" t="s">
        <v>165</v>
      </c>
      <c r="D803" s="45" t="s">
        <v>33</v>
      </c>
      <c r="E803" s="25"/>
      <c r="F803" s="85">
        <f t="shared" si="51"/>
        <v>95000</v>
      </c>
      <c r="G803" s="85">
        <f t="shared" si="51"/>
        <v>94130.884000000005</v>
      </c>
      <c r="H803" s="85">
        <f t="shared" si="45"/>
        <v>99.085141052631585</v>
      </c>
    </row>
    <row r="804" spans="1:8" s="24" customFormat="1" x14ac:dyDescent="0.2">
      <c r="A804" s="68" t="s">
        <v>382</v>
      </c>
      <c r="B804" s="22" t="s">
        <v>184</v>
      </c>
      <c r="C804" s="22" t="s">
        <v>165</v>
      </c>
      <c r="D804" s="22" t="s">
        <v>33</v>
      </c>
      <c r="E804" s="22" t="s">
        <v>383</v>
      </c>
      <c r="F804" s="31">
        <f t="shared" si="51"/>
        <v>95000</v>
      </c>
      <c r="G804" s="31">
        <f t="shared" si="51"/>
        <v>94130.884000000005</v>
      </c>
      <c r="H804" s="31">
        <f t="shared" si="45"/>
        <v>99.085141052631585</v>
      </c>
    </row>
    <row r="805" spans="1:8" ht="14.25" customHeight="1" x14ac:dyDescent="0.2">
      <c r="A805" s="68" t="s">
        <v>384</v>
      </c>
      <c r="B805" s="22" t="s">
        <v>184</v>
      </c>
      <c r="C805" s="22" t="s">
        <v>165</v>
      </c>
      <c r="D805" s="22" t="s">
        <v>33</v>
      </c>
      <c r="E805" s="22" t="s">
        <v>528</v>
      </c>
      <c r="F805" s="31">
        <f>122000-15000-500-1626.9-9873.1</f>
        <v>95000</v>
      </c>
      <c r="G805" s="31">
        <v>94130.884000000005</v>
      </c>
      <c r="H805" s="31">
        <f t="shared" si="45"/>
        <v>99.085141052631585</v>
      </c>
    </row>
    <row r="806" spans="1:8" x14ac:dyDescent="0.2">
      <c r="A806" s="97"/>
      <c r="B806" s="98"/>
      <c r="C806" s="98"/>
      <c r="D806" s="98"/>
      <c r="E806" s="98"/>
      <c r="F806" s="106"/>
      <c r="G806" s="106"/>
      <c r="H806" s="106"/>
    </row>
    <row r="807" spans="1:8" x14ac:dyDescent="0.2">
      <c r="A807" s="46"/>
      <c r="B807" s="6"/>
      <c r="C807" s="6"/>
      <c r="D807" s="6"/>
      <c r="E807" s="6"/>
      <c r="H807" s="106"/>
    </row>
    <row r="808" spans="1:8" x14ac:dyDescent="0.2">
      <c r="A808" s="46"/>
      <c r="B808" s="6"/>
      <c r="C808" s="6"/>
      <c r="D808" s="6"/>
      <c r="E808" s="6"/>
    </row>
    <row r="809" spans="1:8" ht="15" x14ac:dyDescent="0.25">
      <c r="A809" s="119"/>
      <c r="B809" s="6"/>
      <c r="C809" s="6"/>
      <c r="D809" s="6"/>
      <c r="E809" s="6"/>
    </row>
    <row r="810" spans="1:8" x14ac:dyDescent="0.2">
      <c r="A810" s="46"/>
      <c r="B810" s="6"/>
      <c r="C810" s="6"/>
      <c r="D810" s="6"/>
      <c r="E810" s="6"/>
    </row>
    <row r="811" spans="1:8" x14ac:dyDescent="0.2">
      <c r="A811" s="46"/>
      <c r="B811" s="6"/>
      <c r="C811" s="6"/>
      <c r="D811" s="6"/>
      <c r="E811" s="6"/>
    </row>
    <row r="812" spans="1:8" x14ac:dyDescent="0.2">
      <c r="A812" s="46"/>
      <c r="B812" s="6"/>
      <c r="C812" s="6"/>
      <c r="D812" s="6"/>
      <c r="E812" s="6"/>
    </row>
    <row r="813" spans="1:8" x14ac:dyDescent="0.2">
      <c r="A813" s="46"/>
      <c r="B813" s="6"/>
      <c r="C813" s="6"/>
      <c r="D813" s="6"/>
      <c r="E813" s="6"/>
    </row>
    <row r="814" spans="1:8" x14ac:dyDescent="0.2">
      <c r="A814" s="46"/>
      <c r="B814" s="6"/>
      <c r="C814" s="6"/>
      <c r="D814" s="6"/>
      <c r="E814" s="6"/>
    </row>
    <row r="815" spans="1:8" x14ac:dyDescent="0.2">
      <c r="A815" s="46"/>
      <c r="B815" s="6"/>
      <c r="C815" s="6"/>
      <c r="D815" s="6"/>
      <c r="E815" s="6"/>
    </row>
    <row r="816" spans="1:8" x14ac:dyDescent="0.2">
      <c r="A816" s="46"/>
      <c r="B816" s="6"/>
      <c r="C816" s="6"/>
      <c r="D816" s="6"/>
      <c r="E816" s="6"/>
    </row>
    <row r="817" spans="1:5" x14ac:dyDescent="0.2">
      <c r="A817" s="46"/>
      <c r="B817" s="6"/>
      <c r="C817" s="6"/>
      <c r="D817" s="6"/>
      <c r="E817" s="6"/>
    </row>
    <row r="818" spans="1:5" x14ac:dyDescent="0.2">
      <c r="A818" s="46"/>
      <c r="B818" s="6"/>
      <c r="C818" s="6"/>
      <c r="D818" s="6"/>
      <c r="E818" s="6"/>
    </row>
    <row r="819" spans="1:5" x14ac:dyDescent="0.2">
      <c r="A819" s="46"/>
      <c r="B819" s="6"/>
      <c r="C819" s="6"/>
      <c r="D819" s="6"/>
      <c r="E819" s="6"/>
    </row>
    <row r="820" spans="1:5" x14ac:dyDescent="0.2">
      <c r="A820" s="46"/>
      <c r="B820" s="6"/>
      <c r="C820" s="6"/>
      <c r="D820" s="6"/>
      <c r="E820" s="6"/>
    </row>
    <row r="821" spans="1:5" x14ac:dyDescent="0.2">
      <c r="A821" s="46"/>
      <c r="B821" s="6"/>
      <c r="C821" s="6"/>
      <c r="D821" s="6"/>
      <c r="E821" s="6"/>
    </row>
    <row r="822" spans="1:5" x14ac:dyDescent="0.2">
      <c r="A822" s="46"/>
      <c r="B822" s="6"/>
      <c r="C822" s="6"/>
      <c r="D822" s="6"/>
      <c r="E822" s="6"/>
    </row>
    <row r="823" spans="1:5" x14ac:dyDescent="0.2">
      <c r="A823" s="46"/>
      <c r="B823" s="6"/>
      <c r="C823" s="6"/>
      <c r="D823" s="6"/>
      <c r="E823" s="6"/>
    </row>
    <row r="824" spans="1:5" x14ac:dyDescent="0.2">
      <c r="A824" s="46"/>
      <c r="B824" s="6"/>
      <c r="C824" s="6"/>
      <c r="D824" s="6"/>
      <c r="E824" s="6"/>
    </row>
    <row r="825" spans="1:5" x14ac:dyDescent="0.2">
      <c r="A825" s="46"/>
      <c r="B825" s="6"/>
      <c r="C825" s="6"/>
      <c r="D825" s="6"/>
      <c r="E825" s="6"/>
    </row>
    <row r="826" spans="1:5" x14ac:dyDescent="0.2">
      <c r="A826" s="46"/>
      <c r="B826" s="6"/>
      <c r="C826" s="6"/>
      <c r="D826" s="6"/>
      <c r="E826" s="6"/>
    </row>
    <row r="827" spans="1:5" x14ac:dyDescent="0.2">
      <c r="A827" s="46"/>
      <c r="B827" s="6"/>
      <c r="C827" s="6"/>
      <c r="D827" s="6"/>
      <c r="E827" s="6"/>
    </row>
    <row r="828" spans="1:5" x14ac:dyDescent="0.2">
      <c r="A828" s="46"/>
      <c r="B828" s="6"/>
      <c r="C828" s="6"/>
      <c r="D828" s="6"/>
      <c r="E828" s="6"/>
    </row>
    <row r="829" spans="1:5" x14ac:dyDescent="0.2">
      <c r="A829" s="46"/>
      <c r="B829" s="6"/>
      <c r="C829" s="6"/>
      <c r="D829" s="6"/>
      <c r="E829" s="6"/>
    </row>
    <row r="830" spans="1:5" x14ac:dyDescent="0.2">
      <c r="A830" s="46"/>
      <c r="B830" s="6"/>
      <c r="C830" s="6"/>
      <c r="D830" s="6"/>
      <c r="E830" s="6"/>
    </row>
    <row r="831" spans="1:5" x14ac:dyDescent="0.2">
      <c r="A831" s="46"/>
      <c r="B831" s="6"/>
      <c r="C831" s="6"/>
      <c r="D831" s="6"/>
      <c r="E831" s="6"/>
    </row>
    <row r="832" spans="1:5" x14ac:dyDescent="0.2">
      <c r="A832" s="46"/>
      <c r="B832" s="6"/>
      <c r="C832" s="6"/>
      <c r="D832" s="6"/>
      <c r="E832" s="6"/>
    </row>
    <row r="833" spans="1:5" x14ac:dyDescent="0.2">
      <c r="A833" s="46"/>
      <c r="B833" s="6"/>
      <c r="C833" s="6"/>
      <c r="D833" s="6"/>
      <c r="E833" s="6"/>
    </row>
    <row r="834" spans="1:5" x14ac:dyDescent="0.2">
      <c r="A834" s="46"/>
      <c r="B834" s="6"/>
      <c r="C834" s="6"/>
      <c r="D834" s="6"/>
      <c r="E834" s="6"/>
    </row>
    <row r="835" spans="1:5" x14ac:dyDescent="0.2">
      <c r="A835" s="46"/>
      <c r="B835" s="6"/>
      <c r="C835" s="6"/>
      <c r="D835" s="6"/>
      <c r="E835" s="6"/>
    </row>
    <row r="836" spans="1:5" x14ac:dyDescent="0.2">
      <c r="A836" s="46"/>
      <c r="B836" s="6"/>
      <c r="C836" s="6"/>
      <c r="D836" s="6"/>
      <c r="E836" s="6"/>
    </row>
    <row r="837" spans="1:5" x14ac:dyDescent="0.2">
      <c r="A837" s="46"/>
      <c r="B837" s="6"/>
      <c r="C837" s="6"/>
      <c r="D837" s="6"/>
      <c r="E837" s="6"/>
    </row>
    <row r="838" spans="1:5" x14ac:dyDescent="0.2">
      <c r="A838" s="46"/>
      <c r="B838" s="6"/>
      <c r="C838" s="6"/>
      <c r="D838" s="6"/>
      <c r="E838" s="6"/>
    </row>
    <row r="839" spans="1:5" x14ac:dyDescent="0.2">
      <c r="A839" s="46"/>
      <c r="B839" s="6"/>
      <c r="C839" s="6"/>
      <c r="D839" s="6"/>
      <c r="E839" s="6"/>
    </row>
    <row r="840" spans="1:5" x14ac:dyDescent="0.2">
      <c r="A840" s="46"/>
      <c r="B840" s="6"/>
      <c r="C840" s="6"/>
      <c r="D840" s="6"/>
      <c r="E840" s="6"/>
    </row>
    <row r="841" spans="1:5" x14ac:dyDescent="0.2">
      <c r="A841" s="46"/>
      <c r="B841" s="6"/>
      <c r="C841" s="6"/>
      <c r="D841" s="6"/>
      <c r="E841" s="6"/>
    </row>
    <row r="842" spans="1:5" x14ac:dyDescent="0.2">
      <c r="A842" s="46"/>
      <c r="B842" s="6"/>
      <c r="C842" s="6"/>
      <c r="D842" s="6"/>
      <c r="E842" s="6"/>
    </row>
    <row r="843" spans="1:5" x14ac:dyDescent="0.2">
      <c r="A843" s="46"/>
      <c r="B843" s="6"/>
      <c r="C843" s="6"/>
      <c r="D843" s="6"/>
      <c r="E843" s="6"/>
    </row>
    <row r="844" spans="1:5" x14ac:dyDescent="0.2">
      <c r="A844" s="46"/>
      <c r="B844" s="6"/>
      <c r="C844" s="6"/>
      <c r="D844" s="6"/>
      <c r="E844" s="6"/>
    </row>
    <row r="845" spans="1:5" x14ac:dyDescent="0.2">
      <c r="A845" s="46"/>
      <c r="B845" s="6"/>
      <c r="C845" s="6"/>
      <c r="D845" s="6"/>
      <c r="E845" s="6"/>
    </row>
    <row r="846" spans="1:5" x14ac:dyDescent="0.2">
      <c r="A846" s="46"/>
      <c r="B846" s="6"/>
      <c r="C846" s="6"/>
      <c r="D846" s="6"/>
      <c r="E846" s="6"/>
    </row>
    <row r="847" spans="1:5" x14ac:dyDescent="0.2">
      <c r="A847" s="46"/>
      <c r="B847" s="6"/>
      <c r="C847" s="6"/>
      <c r="D847" s="6"/>
      <c r="E847" s="6"/>
    </row>
    <row r="848" spans="1:5" x14ac:dyDescent="0.2">
      <c r="A848" s="46"/>
      <c r="B848" s="6"/>
      <c r="C848" s="6"/>
      <c r="D848" s="6"/>
      <c r="E848" s="6"/>
    </row>
    <row r="849" spans="1:5" x14ac:dyDescent="0.2">
      <c r="A849" s="46"/>
      <c r="B849" s="6"/>
      <c r="C849" s="6"/>
      <c r="D849" s="6"/>
      <c r="E849" s="6"/>
    </row>
    <row r="850" spans="1:5" x14ac:dyDescent="0.2">
      <c r="A850" s="46"/>
      <c r="B850" s="6"/>
      <c r="C850" s="6"/>
      <c r="D850" s="6"/>
      <c r="E850" s="6"/>
    </row>
    <row r="851" spans="1:5" x14ac:dyDescent="0.2">
      <c r="A851" s="46"/>
      <c r="B851" s="6"/>
      <c r="C851" s="6"/>
      <c r="D851" s="6"/>
      <c r="E851" s="6"/>
    </row>
    <row r="852" spans="1:5" x14ac:dyDescent="0.2">
      <c r="A852" s="46"/>
      <c r="B852" s="6"/>
      <c r="C852" s="6"/>
      <c r="D852" s="6"/>
      <c r="E852" s="6"/>
    </row>
    <row r="853" spans="1:5" x14ac:dyDescent="0.2">
      <c r="A853" s="46"/>
      <c r="B853" s="6"/>
      <c r="C853" s="6"/>
      <c r="D853" s="6"/>
      <c r="E853" s="6"/>
    </row>
    <row r="854" spans="1:5" x14ac:dyDescent="0.2">
      <c r="A854" s="46"/>
      <c r="B854" s="6"/>
      <c r="C854" s="6"/>
      <c r="D854" s="6"/>
      <c r="E854" s="6"/>
    </row>
    <row r="855" spans="1:5" x14ac:dyDescent="0.2">
      <c r="A855" s="46"/>
      <c r="B855" s="6"/>
      <c r="C855" s="6"/>
      <c r="D855" s="6"/>
      <c r="E855" s="6"/>
    </row>
    <row r="856" spans="1:5" x14ac:dyDescent="0.2">
      <c r="A856" s="46"/>
      <c r="B856" s="6"/>
      <c r="C856" s="6"/>
      <c r="D856" s="6"/>
      <c r="E856" s="6"/>
    </row>
    <row r="857" spans="1:5" x14ac:dyDescent="0.2">
      <c r="A857" s="46"/>
      <c r="B857" s="6"/>
      <c r="C857" s="6"/>
      <c r="D857" s="6"/>
      <c r="E857" s="6"/>
    </row>
    <row r="858" spans="1:5" x14ac:dyDescent="0.2">
      <c r="A858" s="46"/>
      <c r="B858" s="6"/>
      <c r="C858" s="6"/>
      <c r="D858" s="6"/>
      <c r="E858" s="6"/>
    </row>
    <row r="859" spans="1:5" x14ac:dyDescent="0.2">
      <c r="A859" s="46"/>
      <c r="B859" s="6"/>
      <c r="C859" s="6"/>
      <c r="D859" s="6"/>
      <c r="E859" s="6"/>
    </row>
    <row r="860" spans="1:5" x14ac:dyDescent="0.2">
      <c r="A860" s="46"/>
      <c r="B860" s="6"/>
      <c r="C860" s="6"/>
      <c r="D860" s="6"/>
      <c r="E860" s="6"/>
    </row>
    <row r="861" spans="1:5" x14ac:dyDescent="0.2">
      <c r="A861" s="46"/>
      <c r="B861" s="6"/>
      <c r="C861" s="6"/>
      <c r="D861" s="6"/>
      <c r="E861" s="6"/>
    </row>
    <row r="862" spans="1:5" x14ac:dyDescent="0.2">
      <c r="A862" s="46"/>
      <c r="B862" s="6"/>
      <c r="C862" s="6"/>
      <c r="D862" s="6"/>
      <c r="E862" s="6"/>
    </row>
    <row r="863" spans="1:5" x14ac:dyDescent="0.2">
      <c r="A863" s="46"/>
      <c r="B863" s="6"/>
      <c r="C863" s="6"/>
      <c r="D863" s="6"/>
      <c r="E863" s="6"/>
    </row>
    <row r="864" spans="1:5" x14ac:dyDescent="0.2">
      <c r="A864" s="46"/>
      <c r="B864" s="6"/>
      <c r="C864" s="6"/>
      <c r="D864" s="6"/>
      <c r="E864" s="6"/>
    </row>
    <row r="865" spans="1:5" x14ac:dyDescent="0.2">
      <c r="A865" s="46"/>
      <c r="B865" s="6"/>
      <c r="C865" s="6"/>
      <c r="D865" s="6"/>
      <c r="E865" s="6"/>
    </row>
    <row r="866" spans="1:5" x14ac:dyDescent="0.2">
      <c r="A866" s="46"/>
      <c r="B866" s="6"/>
      <c r="C866" s="6"/>
      <c r="D866" s="6"/>
      <c r="E866" s="6"/>
    </row>
    <row r="867" spans="1:5" x14ac:dyDescent="0.2">
      <c r="A867" s="46"/>
      <c r="B867" s="6"/>
      <c r="C867" s="6"/>
      <c r="D867" s="6"/>
      <c r="E867" s="6"/>
    </row>
    <row r="868" spans="1:5" x14ac:dyDescent="0.2">
      <c r="A868" s="46"/>
      <c r="B868" s="6"/>
      <c r="C868" s="6"/>
      <c r="D868" s="6"/>
      <c r="E868" s="6"/>
    </row>
    <row r="869" spans="1:5" x14ac:dyDescent="0.2">
      <c r="A869" s="46"/>
      <c r="B869" s="6"/>
      <c r="C869" s="6"/>
      <c r="D869" s="6"/>
      <c r="E869" s="6"/>
    </row>
    <row r="870" spans="1:5" x14ac:dyDescent="0.2">
      <c r="A870" s="46"/>
      <c r="B870" s="6"/>
      <c r="C870" s="6"/>
      <c r="D870" s="6"/>
      <c r="E870" s="6"/>
    </row>
    <row r="871" spans="1:5" x14ac:dyDescent="0.2">
      <c r="A871" s="46"/>
      <c r="B871" s="6"/>
      <c r="C871" s="6"/>
      <c r="D871" s="6"/>
      <c r="E871" s="6"/>
    </row>
    <row r="872" spans="1:5" x14ac:dyDescent="0.2">
      <c r="A872" s="46"/>
      <c r="B872" s="6"/>
      <c r="C872" s="6"/>
      <c r="D872" s="6"/>
      <c r="E872" s="6"/>
    </row>
    <row r="873" spans="1:5" x14ac:dyDescent="0.2">
      <c r="A873" s="46"/>
      <c r="B873" s="6"/>
      <c r="C873" s="6"/>
      <c r="D873" s="6"/>
      <c r="E873" s="6"/>
    </row>
    <row r="874" spans="1:5" x14ac:dyDescent="0.2">
      <c r="A874" s="46"/>
      <c r="B874" s="6"/>
      <c r="C874" s="6"/>
      <c r="D874" s="6"/>
      <c r="E874" s="6"/>
    </row>
    <row r="875" spans="1:5" x14ac:dyDescent="0.2">
      <c r="A875" s="46"/>
      <c r="B875" s="6"/>
      <c r="C875" s="6"/>
      <c r="D875" s="6"/>
      <c r="E875" s="6"/>
    </row>
    <row r="876" spans="1:5" x14ac:dyDescent="0.2">
      <c r="A876" s="46"/>
      <c r="B876" s="6"/>
      <c r="C876" s="6"/>
      <c r="D876" s="6"/>
      <c r="E876" s="6"/>
    </row>
    <row r="877" spans="1:5" x14ac:dyDescent="0.2">
      <c r="A877" s="46"/>
      <c r="B877" s="6"/>
      <c r="C877" s="6"/>
      <c r="D877" s="6"/>
      <c r="E877" s="6"/>
    </row>
    <row r="878" spans="1:5" x14ac:dyDescent="0.2">
      <c r="A878" s="46"/>
      <c r="B878" s="6"/>
      <c r="C878" s="6"/>
      <c r="D878" s="6"/>
      <c r="E878" s="6"/>
    </row>
    <row r="879" spans="1:5" x14ac:dyDescent="0.2">
      <c r="A879" s="46"/>
      <c r="B879" s="6"/>
      <c r="C879" s="6"/>
      <c r="D879" s="6"/>
      <c r="E879" s="6"/>
    </row>
    <row r="880" spans="1:5" x14ac:dyDescent="0.2">
      <c r="A880" s="46"/>
      <c r="B880" s="6"/>
      <c r="C880" s="6"/>
      <c r="D880" s="6"/>
      <c r="E880" s="6"/>
    </row>
    <row r="881" spans="1:5" x14ac:dyDescent="0.2">
      <c r="A881" s="46"/>
      <c r="B881" s="6"/>
      <c r="C881" s="6"/>
      <c r="D881" s="6"/>
      <c r="E881" s="6"/>
    </row>
    <row r="882" spans="1:5" x14ac:dyDescent="0.2">
      <c r="A882" s="46"/>
      <c r="B882" s="6"/>
      <c r="C882" s="6"/>
      <c r="D882" s="6"/>
      <c r="E882" s="6"/>
    </row>
    <row r="883" spans="1:5" x14ac:dyDescent="0.2">
      <c r="A883" s="46"/>
      <c r="B883" s="6"/>
      <c r="C883" s="6"/>
      <c r="D883" s="6"/>
      <c r="E883" s="6"/>
    </row>
    <row r="884" spans="1:5" x14ac:dyDescent="0.2">
      <c r="A884" s="46"/>
      <c r="B884" s="6"/>
      <c r="C884" s="6"/>
      <c r="D884" s="6"/>
      <c r="E884" s="6"/>
    </row>
    <row r="885" spans="1:5" x14ac:dyDescent="0.2">
      <c r="A885" s="46"/>
      <c r="B885" s="6"/>
      <c r="C885" s="6"/>
      <c r="D885" s="6"/>
      <c r="E885" s="6"/>
    </row>
    <row r="886" spans="1:5" x14ac:dyDescent="0.2">
      <c r="A886" s="46"/>
      <c r="B886" s="6"/>
      <c r="C886" s="6"/>
      <c r="D886" s="6"/>
      <c r="E886" s="6"/>
    </row>
    <row r="887" spans="1:5" x14ac:dyDescent="0.2">
      <c r="A887" s="46"/>
      <c r="B887" s="6"/>
      <c r="C887" s="6"/>
      <c r="D887" s="6"/>
      <c r="E887" s="6"/>
    </row>
    <row r="888" spans="1:5" x14ac:dyDescent="0.2">
      <c r="A888" s="46"/>
      <c r="B888" s="6"/>
      <c r="C888" s="6"/>
      <c r="D888" s="6"/>
      <c r="E888" s="6"/>
    </row>
    <row r="889" spans="1:5" x14ac:dyDescent="0.2">
      <c r="A889" s="46"/>
      <c r="B889" s="6"/>
      <c r="C889" s="6"/>
      <c r="D889" s="6"/>
      <c r="E889" s="6"/>
    </row>
    <row r="890" spans="1:5" x14ac:dyDescent="0.2">
      <c r="A890" s="46"/>
      <c r="B890" s="6"/>
      <c r="C890" s="6"/>
      <c r="D890" s="6"/>
      <c r="E890" s="6"/>
    </row>
    <row r="891" spans="1:5" x14ac:dyDescent="0.2">
      <c r="A891" s="46"/>
      <c r="B891" s="6"/>
      <c r="C891" s="6"/>
      <c r="D891" s="6"/>
      <c r="E891" s="6"/>
    </row>
    <row r="892" spans="1:5" x14ac:dyDescent="0.2">
      <c r="A892" s="46"/>
      <c r="B892" s="6"/>
      <c r="C892" s="6"/>
      <c r="D892" s="6"/>
      <c r="E892" s="6"/>
    </row>
    <row r="893" spans="1:5" x14ac:dyDescent="0.2">
      <c r="A893" s="46"/>
      <c r="B893" s="6"/>
      <c r="C893" s="6"/>
      <c r="D893" s="6"/>
      <c r="E893" s="6"/>
    </row>
    <row r="894" spans="1:5" x14ac:dyDescent="0.2">
      <c r="A894" s="46"/>
      <c r="B894" s="6"/>
      <c r="C894" s="6"/>
      <c r="D894" s="6"/>
      <c r="E894" s="6"/>
    </row>
    <row r="895" spans="1:5" x14ac:dyDescent="0.2">
      <c r="A895" s="46"/>
      <c r="B895" s="6"/>
      <c r="C895" s="6"/>
      <c r="D895" s="6"/>
      <c r="E895" s="6"/>
    </row>
    <row r="896" spans="1:5" x14ac:dyDescent="0.2">
      <c r="A896" s="46"/>
      <c r="B896" s="6"/>
      <c r="C896" s="6"/>
      <c r="D896" s="6"/>
      <c r="E896" s="6"/>
    </row>
    <row r="897" spans="1:5" x14ac:dyDescent="0.2">
      <c r="A897" s="46"/>
      <c r="B897" s="6"/>
      <c r="C897" s="6"/>
      <c r="D897" s="6"/>
      <c r="E897" s="6"/>
    </row>
    <row r="898" spans="1:5" x14ac:dyDescent="0.2">
      <c r="A898" s="46"/>
      <c r="B898" s="6"/>
      <c r="C898" s="6"/>
      <c r="D898" s="6"/>
      <c r="E898" s="6"/>
    </row>
    <row r="899" spans="1:5" x14ac:dyDescent="0.2">
      <c r="A899" s="46"/>
      <c r="B899" s="6"/>
      <c r="C899" s="6"/>
      <c r="D899" s="6"/>
      <c r="E899" s="6"/>
    </row>
    <row r="900" spans="1:5" x14ac:dyDescent="0.2">
      <c r="A900" s="46"/>
      <c r="B900" s="6"/>
      <c r="C900" s="6"/>
      <c r="D900" s="6"/>
      <c r="E900" s="6"/>
    </row>
    <row r="901" spans="1:5" x14ac:dyDescent="0.2">
      <c r="A901" s="46"/>
      <c r="B901" s="6"/>
      <c r="C901" s="6"/>
      <c r="D901" s="6"/>
      <c r="E901" s="6"/>
    </row>
    <row r="902" spans="1:5" x14ac:dyDescent="0.2">
      <c r="A902" s="46"/>
      <c r="B902" s="6"/>
      <c r="C902" s="6"/>
      <c r="D902" s="6"/>
      <c r="E902" s="6"/>
    </row>
    <row r="903" spans="1:5" x14ac:dyDescent="0.2">
      <c r="A903" s="46"/>
      <c r="B903" s="6"/>
      <c r="C903" s="6"/>
      <c r="D903" s="6"/>
      <c r="E903" s="6"/>
    </row>
    <row r="904" spans="1:5" x14ac:dyDescent="0.2">
      <c r="A904" s="46"/>
      <c r="B904" s="6"/>
      <c r="C904" s="6"/>
      <c r="D904" s="6"/>
      <c r="E904" s="6"/>
    </row>
    <row r="905" spans="1:5" x14ac:dyDescent="0.2">
      <c r="A905" s="46"/>
      <c r="B905" s="6"/>
      <c r="C905" s="6"/>
      <c r="D905" s="6"/>
      <c r="E905" s="6"/>
    </row>
    <row r="906" spans="1:5" x14ac:dyDescent="0.2">
      <c r="A906" s="46"/>
      <c r="B906" s="6"/>
      <c r="C906" s="6"/>
      <c r="D906" s="6"/>
      <c r="E906" s="6"/>
    </row>
    <row r="907" spans="1:5" x14ac:dyDescent="0.2">
      <c r="A907" s="46"/>
      <c r="B907" s="6"/>
      <c r="C907" s="6"/>
      <c r="D907" s="6"/>
      <c r="E907" s="6"/>
    </row>
    <row r="908" spans="1:5" x14ac:dyDescent="0.2">
      <c r="A908" s="46"/>
      <c r="B908" s="6"/>
      <c r="C908" s="6"/>
      <c r="D908" s="6"/>
      <c r="E908" s="6"/>
    </row>
    <row r="909" spans="1:5" x14ac:dyDescent="0.2">
      <c r="A909" s="46"/>
      <c r="B909" s="6"/>
      <c r="C909" s="6"/>
      <c r="D909" s="6"/>
      <c r="E909" s="6"/>
    </row>
    <row r="910" spans="1:5" x14ac:dyDescent="0.2">
      <c r="A910" s="46"/>
      <c r="B910" s="6"/>
      <c r="C910" s="6"/>
      <c r="D910" s="6"/>
      <c r="E910" s="6"/>
    </row>
    <row r="911" spans="1:5" x14ac:dyDescent="0.2">
      <c r="A911" s="46"/>
      <c r="B911" s="6"/>
      <c r="C911" s="6"/>
      <c r="D911" s="6"/>
      <c r="E911" s="6"/>
    </row>
    <row r="912" spans="1:5" x14ac:dyDescent="0.2">
      <c r="A912" s="46"/>
      <c r="B912" s="6"/>
      <c r="C912" s="6"/>
      <c r="D912" s="6"/>
      <c r="E912" s="6"/>
    </row>
    <row r="913" spans="1:5" x14ac:dyDescent="0.2">
      <c r="A913" s="46"/>
      <c r="B913" s="6"/>
      <c r="C913" s="6"/>
      <c r="D913" s="6"/>
      <c r="E913" s="6"/>
    </row>
    <row r="914" spans="1:5" x14ac:dyDescent="0.2">
      <c r="A914" s="46"/>
      <c r="B914" s="6"/>
      <c r="C914" s="6"/>
      <c r="D914" s="6"/>
      <c r="E914" s="6"/>
    </row>
    <row r="915" spans="1:5" x14ac:dyDescent="0.2">
      <c r="A915" s="46"/>
      <c r="B915" s="6"/>
      <c r="C915" s="6"/>
      <c r="D915" s="6"/>
      <c r="E915" s="6"/>
    </row>
    <row r="916" spans="1:5" x14ac:dyDescent="0.2">
      <c r="A916" s="46"/>
      <c r="B916" s="6"/>
      <c r="C916" s="6"/>
      <c r="D916" s="6"/>
      <c r="E916" s="6"/>
    </row>
    <row r="917" spans="1:5" x14ac:dyDescent="0.2">
      <c r="A917" s="46"/>
      <c r="B917" s="6"/>
      <c r="C917" s="6"/>
      <c r="D917" s="6"/>
      <c r="E917" s="6"/>
    </row>
    <row r="918" spans="1:5" x14ac:dyDescent="0.2">
      <c r="A918" s="46"/>
      <c r="B918" s="6"/>
      <c r="C918" s="6"/>
      <c r="D918" s="6"/>
      <c r="E918" s="6"/>
    </row>
    <row r="919" spans="1:5" x14ac:dyDescent="0.2">
      <c r="A919" s="46"/>
      <c r="B919" s="6"/>
      <c r="C919" s="6"/>
      <c r="D919" s="6"/>
      <c r="E919" s="6"/>
    </row>
    <row r="920" spans="1:5" x14ac:dyDescent="0.2">
      <c r="A920" s="46"/>
      <c r="B920" s="6"/>
      <c r="C920" s="6"/>
      <c r="D920" s="6"/>
      <c r="E920" s="6"/>
    </row>
    <row r="921" spans="1:5" x14ac:dyDescent="0.2">
      <c r="A921" s="46"/>
      <c r="B921" s="6"/>
      <c r="C921" s="6"/>
      <c r="D921" s="6"/>
      <c r="E921" s="6"/>
    </row>
    <row r="922" spans="1:5" x14ac:dyDescent="0.2">
      <c r="A922" s="46"/>
      <c r="B922" s="6"/>
      <c r="C922" s="6"/>
      <c r="D922" s="6"/>
      <c r="E922" s="6"/>
    </row>
    <row r="923" spans="1:5" x14ac:dyDescent="0.2">
      <c r="A923" s="46"/>
      <c r="B923" s="6"/>
      <c r="C923" s="6"/>
      <c r="D923" s="6"/>
      <c r="E923" s="6"/>
    </row>
    <row r="924" spans="1:5" x14ac:dyDescent="0.2">
      <c r="A924" s="46"/>
      <c r="B924" s="6"/>
      <c r="C924" s="6"/>
      <c r="D924" s="6"/>
      <c r="E924" s="6"/>
    </row>
    <row r="925" spans="1:5" x14ac:dyDescent="0.2">
      <c r="A925" s="46"/>
      <c r="B925" s="6"/>
      <c r="C925" s="6"/>
      <c r="D925" s="6"/>
      <c r="E925" s="6"/>
    </row>
    <row r="926" spans="1:5" x14ac:dyDescent="0.2">
      <c r="A926" s="46"/>
      <c r="B926" s="6"/>
      <c r="C926" s="6"/>
      <c r="D926" s="6"/>
      <c r="E926" s="6"/>
    </row>
    <row r="927" spans="1:5" x14ac:dyDescent="0.2">
      <c r="A927" s="46"/>
      <c r="B927" s="6"/>
      <c r="C927" s="6"/>
      <c r="D927" s="6"/>
      <c r="E927" s="6"/>
    </row>
    <row r="928" spans="1:5" x14ac:dyDescent="0.2">
      <c r="A928" s="46"/>
      <c r="B928" s="6"/>
      <c r="C928" s="6"/>
      <c r="D928" s="6"/>
      <c r="E928" s="6"/>
    </row>
    <row r="929" spans="1:5" x14ac:dyDescent="0.2">
      <c r="A929" s="46"/>
      <c r="B929" s="6"/>
      <c r="C929" s="6"/>
      <c r="D929" s="6"/>
      <c r="E929" s="6"/>
    </row>
    <row r="930" spans="1:5" x14ac:dyDescent="0.2">
      <c r="A930" s="46"/>
      <c r="B930" s="6"/>
      <c r="C930" s="6"/>
      <c r="D930" s="6"/>
      <c r="E930" s="6"/>
    </row>
    <row r="931" spans="1:5" x14ac:dyDescent="0.2">
      <c r="A931" s="46"/>
      <c r="B931" s="6"/>
      <c r="C931" s="6"/>
      <c r="D931" s="6"/>
      <c r="E931" s="6"/>
    </row>
    <row r="932" spans="1:5" x14ac:dyDescent="0.2">
      <c r="A932" s="46"/>
      <c r="B932" s="6"/>
      <c r="C932" s="6"/>
      <c r="D932" s="6"/>
      <c r="E932" s="6"/>
    </row>
    <row r="933" spans="1:5" x14ac:dyDescent="0.2">
      <c r="A933" s="46"/>
      <c r="B933" s="6"/>
      <c r="C933" s="6"/>
      <c r="D933" s="6"/>
      <c r="E933" s="6"/>
    </row>
    <row r="934" spans="1:5" x14ac:dyDescent="0.2">
      <c r="A934" s="46"/>
      <c r="B934" s="6"/>
      <c r="C934" s="6"/>
      <c r="D934" s="6"/>
      <c r="E934" s="6"/>
    </row>
    <row r="935" spans="1:5" x14ac:dyDescent="0.2">
      <c r="A935" s="46"/>
      <c r="B935" s="6"/>
      <c r="C935" s="6"/>
      <c r="D935" s="6"/>
      <c r="E935" s="6"/>
    </row>
    <row r="936" spans="1:5" x14ac:dyDescent="0.2">
      <c r="A936" s="46"/>
      <c r="B936" s="6"/>
      <c r="C936" s="6"/>
      <c r="D936" s="6"/>
      <c r="E936" s="6"/>
    </row>
    <row r="937" spans="1:5" x14ac:dyDescent="0.2">
      <c r="A937" s="46"/>
      <c r="B937" s="6"/>
      <c r="C937" s="6"/>
      <c r="D937" s="6"/>
      <c r="E937" s="6"/>
    </row>
    <row r="938" spans="1:5" x14ac:dyDescent="0.2">
      <c r="A938" s="46"/>
      <c r="B938" s="6"/>
      <c r="C938" s="6"/>
      <c r="D938" s="6"/>
      <c r="E938" s="6"/>
    </row>
    <row r="939" spans="1:5" x14ac:dyDescent="0.2">
      <c r="A939" s="46"/>
      <c r="B939" s="6"/>
      <c r="C939" s="6"/>
      <c r="D939" s="6"/>
      <c r="E939" s="6"/>
    </row>
    <row r="940" spans="1:5" x14ac:dyDescent="0.2">
      <c r="A940" s="46"/>
      <c r="B940" s="6"/>
      <c r="C940" s="6"/>
      <c r="D940" s="6"/>
      <c r="E940" s="6"/>
    </row>
    <row r="941" spans="1:5" x14ac:dyDescent="0.2">
      <c r="A941" s="46"/>
      <c r="B941" s="6"/>
      <c r="C941" s="6"/>
      <c r="D941" s="6"/>
      <c r="E941" s="6"/>
    </row>
    <row r="942" spans="1:5" x14ac:dyDescent="0.2">
      <c r="A942" s="46"/>
      <c r="B942" s="6"/>
      <c r="C942" s="6"/>
      <c r="D942" s="6"/>
      <c r="E942" s="6"/>
    </row>
    <row r="943" spans="1:5" x14ac:dyDescent="0.2">
      <c r="A943" s="46"/>
      <c r="B943" s="6"/>
      <c r="C943" s="6"/>
      <c r="D943" s="6"/>
      <c r="E943" s="6"/>
    </row>
    <row r="944" spans="1:5" x14ac:dyDescent="0.2">
      <c r="A944" s="46"/>
      <c r="B944" s="6"/>
      <c r="C944" s="6"/>
      <c r="D944" s="6"/>
      <c r="E944" s="6"/>
    </row>
    <row r="945" spans="1:5" x14ac:dyDescent="0.2">
      <c r="A945" s="46"/>
      <c r="B945" s="6"/>
      <c r="C945" s="6"/>
      <c r="D945" s="6"/>
      <c r="E945" s="6"/>
    </row>
    <row r="946" spans="1:5" x14ac:dyDescent="0.2">
      <c r="A946" s="46"/>
      <c r="B946" s="6"/>
      <c r="C946" s="6"/>
      <c r="D946" s="6"/>
      <c r="E946" s="6"/>
    </row>
    <row r="947" spans="1:5" x14ac:dyDescent="0.2">
      <c r="A947" s="46"/>
      <c r="B947" s="6"/>
      <c r="C947" s="6"/>
      <c r="D947" s="6"/>
      <c r="E947" s="6"/>
    </row>
    <row r="948" spans="1:5" x14ac:dyDescent="0.2">
      <c r="A948" s="46"/>
      <c r="B948" s="6"/>
      <c r="C948" s="6"/>
      <c r="D948" s="6"/>
      <c r="E948" s="6"/>
    </row>
    <row r="949" spans="1:5" x14ac:dyDescent="0.2">
      <c r="A949" s="46"/>
      <c r="B949" s="6"/>
      <c r="C949" s="6"/>
      <c r="D949" s="6"/>
      <c r="E949" s="6"/>
    </row>
    <row r="950" spans="1:5" x14ac:dyDescent="0.2">
      <c r="A950" s="46"/>
      <c r="B950" s="6"/>
      <c r="C950" s="6"/>
      <c r="D950" s="6"/>
      <c r="E950" s="6"/>
    </row>
    <row r="951" spans="1:5" x14ac:dyDescent="0.2">
      <c r="A951" s="46"/>
      <c r="B951" s="6"/>
      <c r="C951" s="6"/>
      <c r="D951" s="6"/>
      <c r="E951" s="6"/>
    </row>
    <row r="952" spans="1:5" x14ac:dyDescent="0.2">
      <c r="A952" s="46"/>
      <c r="B952" s="6"/>
      <c r="C952" s="6"/>
      <c r="D952" s="6"/>
      <c r="E952" s="6"/>
    </row>
    <row r="953" spans="1:5" x14ac:dyDescent="0.2">
      <c r="A953" s="46"/>
      <c r="B953" s="6"/>
      <c r="C953" s="6"/>
      <c r="D953" s="6"/>
      <c r="E953" s="6"/>
    </row>
    <row r="954" spans="1:5" x14ac:dyDescent="0.2">
      <c r="A954" s="46"/>
      <c r="B954" s="6"/>
      <c r="C954" s="6"/>
      <c r="D954" s="6"/>
      <c r="E954" s="6"/>
    </row>
    <row r="955" spans="1:5" x14ac:dyDescent="0.2">
      <c r="A955" s="46"/>
      <c r="B955" s="6"/>
      <c r="C955" s="6"/>
      <c r="D955" s="6"/>
      <c r="E955" s="6"/>
    </row>
    <row r="956" spans="1:5" x14ac:dyDescent="0.2">
      <c r="A956" s="46"/>
      <c r="B956" s="6"/>
      <c r="C956" s="6"/>
      <c r="D956" s="6"/>
      <c r="E956" s="6"/>
    </row>
    <row r="957" spans="1:5" x14ac:dyDescent="0.2">
      <c r="A957" s="46"/>
      <c r="B957" s="6"/>
      <c r="C957" s="6"/>
      <c r="D957" s="6"/>
      <c r="E957" s="6"/>
    </row>
    <row r="958" spans="1:5" x14ac:dyDescent="0.2">
      <c r="A958" s="46"/>
      <c r="B958" s="6"/>
      <c r="C958" s="6"/>
      <c r="D958" s="6"/>
      <c r="E958" s="6"/>
    </row>
    <row r="959" spans="1:5" x14ac:dyDescent="0.2">
      <c r="A959" s="46"/>
      <c r="B959" s="6"/>
      <c r="C959" s="6"/>
      <c r="D959" s="6"/>
      <c r="E959" s="6"/>
    </row>
    <row r="960" spans="1:5" x14ac:dyDescent="0.2">
      <c r="A960" s="46"/>
      <c r="B960" s="6"/>
      <c r="C960" s="6"/>
      <c r="D960" s="6"/>
      <c r="E960" s="6"/>
    </row>
    <row r="961" spans="1:5" x14ac:dyDescent="0.2">
      <c r="A961" s="46"/>
      <c r="B961" s="6"/>
      <c r="C961" s="6"/>
      <c r="D961" s="6"/>
      <c r="E961" s="6"/>
    </row>
    <row r="962" spans="1:5" x14ac:dyDescent="0.2">
      <c r="A962" s="46"/>
      <c r="B962" s="6"/>
      <c r="C962" s="6"/>
      <c r="D962" s="6"/>
      <c r="E962" s="6"/>
    </row>
  </sheetData>
  <autoFilter ref="A7:F805"/>
  <mergeCells count="5">
    <mergeCell ref="A5:H5"/>
    <mergeCell ref="A1:H1"/>
    <mergeCell ref="A2:H2"/>
    <mergeCell ref="A3:H3"/>
    <mergeCell ref="A6:H6"/>
  </mergeCells>
  <phoneticPr fontId="2" type="noConversion"/>
  <pageMargins left="0.59055118110236227" right="0.39370078740157483" top="0.39370078740157483" bottom="0.39370078740157483" header="0.39370078740157483" footer="0"/>
  <pageSetup paperSize="9" scale="84" orientation="landscape" useFirstPageNumber="1" r:id="rId1"/>
  <headerFooter alignWithMargins="0">
    <oddFooter>&amp;C&amp;P</oddFooter>
  </headerFooter>
  <rowBreaks count="4" manualBreakCount="4">
    <brk id="37" max="7" man="1"/>
    <brk id="76" max="7" man="1"/>
    <brk id="482" max="7" man="1"/>
    <brk id="519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1"/>
  </sheetPr>
  <dimension ref="A1:M48"/>
  <sheetViews>
    <sheetView tabSelected="1" view="pageBreakPreview" zoomScale="120" zoomScaleNormal="120" zoomScaleSheetLayoutView="120" workbookViewId="0">
      <selection activeCell="D14" sqref="D14"/>
    </sheetView>
  </sheetViews>
  <sheetFormatPr defaultRowHeight="12.75" x14ac:dyDescent="0.2"/>
  <cols>
    <col min="1" max="1" width="30.42578125" customWidth="1"/>
    <col min="2" max="2" width="52.7109375" customWidth="1"/>
    <col min="3" max="3" width="12.42578125" customWidth="1"/>
    <col min="4" max="5" width="15.42578125" customWidth="1"/>
    <col min="257" max="257" width="30.42578125" customWidth="1"/>
    <col min="258" max="258" width="52.7109375" customWidth="1"/>
    <col min="259" max="259" width="12.42578125" customWidth="1"/>
    <col min="260" max="260" width="15.42578125" customWidth="1"/>
    <col min="261" max="261" width="14.140625" customWidth="1"/>
    <col min="513" max="513" width="30.42578125" customWidth="1"/>
    <col min="514" max="514" width="52.7109375" customWidth="1"/>
    <col min="515" max="515" width="12.42578125" customWidth="1"/>
    <col min="516" max="516" width="15.42578125" customWidth="1"/>
    <col min="517" max="517" width="14.140625" customWidth="1"/>
    <col min="769" max="769" width="30.42578125" customWidth="1"/>
    <col min="770" max="770" width="52.7109375" customWidth="1"/>
    <col min="771" max="771" width="12.42578125" customWidth="1"/>
    <col min="772" max="772" width="15.42578125" customWidth="1"/>
    <col min="773" max="773" width="14.140625" customWidth="1"/>
    <col min="1025" max="1025" width="30.42578125" customWidth="1"/>
    <col min="1026" max="1026" width="52.7109375" customWidth="1"/>
    <col min="1027" max="1027" width="12.42578125" customWidth="1"/>
    <col min="1028" max="1028" width="15.42578125" customWidth="1"/>
    <col min="1029" max="1029" width="14.140625" customWidth="1"/>
    <col min="1281" max="1281" width="30.42578125" customWidth="1"/>
    <col min="1282" max="1282" width="52.7109375" customWidth="1"/>
    <col min="1283" max="1283" width="12.42578125" customWidth="1"/>
    <col min="1284" max="1284" width="15.42578125" customWidth="1"/>
    <col min="1285" max="1285" width="14.140625" customWidth="1"/>
    <col min="1537" max="1537" width="30.42578125" customWidth="1"/>
    <col min="1538" max="1538" width="52.7109375" customWidth="1"/>
    <col min="1539" max="1539" width="12.42578125" customWidth="1"/>
    <col min="1540" max="1540" width="15.42578125" customWidth="1"/>
    <col min="1541" max="1541" width="14.140625" customWidth="1"/>
    <col min="1793" max="1793" width="30.42578125" customWidth="1"/>
    <col min="1794" max="1794" width="52.7109375" customWidth="1"/>
    <col min="1795" max="1795" width="12.42578125" customWidth="1"/>
    <col min="1796" max="1796" width="15.42578125" customWidth="1"/>
    <col min="1797" max="1797" width="14.140625" customWidth="1"/>
    <col min="2049" max="2049" width="30.42578125" customWidth="1"/>
    <col min="2050" max="2050" width="52.7109375" customWidth="1"/>
    <col min="2051" max="2051" width="12.42578125" customWidth="1"/>
    <col min="2052" max="2052" width="15.42578125" customWidth="1"/>
    <col min="2053" max="2053" width="14.140625" customWidth="1"/>
    <col min="2305" max="2305" width="30.42578125" customWidth="1"/>
    <col min="2306" max="2306" width="52.7109375" customWidth="1"/>
    <col min="2307" max="2307" width="12.42578125" customWidth="1"/>
    <col min="2308" max="2308" width="15.42578125" customWidth="1"/>
    <col min="2309" max="2309" width="14.140625" customWidth="1"/>
    <col min="2561" max="2561" width="30.42578125" customWidth="1"/>
    <col min="2562" max="2562" width="52.7109375" customWidth="1"/>
    <col min="2563" max="2563" width="12.42578125" customWidth="1"/>
    <col min="2564" max="2564" width="15.42578125" customWidth="1"/>
    <col min="2565" max="2565" width="14.140625" customWidth="1"/>
    <col min="2817" max="2817" width="30.42578125" customWidth="1"/>
    <col min="2818" max="2818" width="52.7109375" customWidth="1"/>
    <col min="2819" max="2819" width="12.42578125" customWidth="1"/>
    <col min="2820" max="2820" width="15.42578125" customWidth="1"/>
    <col min="2821" max="2821" width="14.140625" customWidth="1"/>
    <col min="3073" max="3073" width="30.42578125" customWidth="1"/>
    <col min="3074" max="3074" width="52.7109375" customWidth="1"/>
    <col min="3075" max="3075" width="12.42578125" customWidth="1"/>
    <col min="3076" max="3076" width="15.42578125" customWidth="1"/>
    <col min="3077" max="3077" width="14.140625" customWidth="1"/>
    <col min="3329" max="3329" width="30.42578125" customWidth="1"/>
    <col min="3330" max="3330" width="52.7109375" customWidth="1"/>
    <col min="3331" max="3331" width="12.42578125" customWidth="1"/>
    <col min="3332" max="3332" width="15.42578125" customWidth="1"/>
    <col min="3333" max="3333" width="14.140625" customWidth="1"/>
    <col min="3585" max="3585" width="30.42578125" customWidth="1"/>
    <col min="3586" max="3586" width="52.7109375" customWidth="1"/>
    <col min="3587" max="3587" width="12.42578125" customWidth="1"/>
    <col min="3588" max="3588" width="15.42578125" customWidth="1"/>
    <col min="3589" max="3589" width="14.140625" customWidth="1"/>
    <col min="3841" max="3841" width="30.42578125" customWidth="1"/>
    <col min="3842" max="3842" width="52.7109375" customWidth="1"/>
    <col min="3843" max="3843" width="12.42578125" customWidth="1"/>
    <col min="3844" max="3844" width="15.42578125" customWidth="1"/>
    <col min="3845" max="3845" width="14.140625" customWidth="1"/>
    <col min="4097" max="4097" width="30.42578125" customWidth="1"/>
    <col min="4098" max="4098" width="52.7109375" customWidth="1"/>
    <col min="4099" max="4099" width="12.42578125" customWidth="1"/>
    <col min="4100" max="4100" width="15.42578125" customWidth="1"/>
    <col min="4101" max="4101" width="14.140625" customWidth="1"/>
    <col min="4353" max="4353" width="30.42578125" customWidth="1"/>
    <col min="4354" max="4354" width="52.7109375" customWidth="1"/>
    <col min="4355" max="4355" width="12.42578125" customWidth="1"/>
    <col min="4356" max="4356" width="15.42578125" customWidth="1"/>
    <col min="4357" max="4357" width="14.140625" customWidth="1"/>
    <col min="4609" max="4609" width="30.42578125" customWidth="1"/>
    <col min="4610" max="4610" width="52.7109375" customWidth="1"/>
    <col min="4611" max="4611" width="12.42578125" customWidth="1"/>
    <col min="4612" max="4612" width="15.42578125" customWidth="1"/>
    <col min="4613" max="4613" width="14.140625" customWidth="1"/>
    <col min="4865" max="4865" width="30.42578125" customWidth="1"/>
    <col min="4866" max="4866" width="52.7109375" customWidth="1"/>
    <col min="4867" max="4867" width="12.42578125" customWidth="1"/>
    <col min="4868" max="4868" width="15.42578125" customWidth="1"/>
    <col min="4869" max="4869" width="14.140625" customWidth="1"/>
    <col min="5121" max="5121" width="30.42578125" customWidth="1"/>
    <col min="5122" max="5122" width="52.7109375" customWidth="1"/>
    <col min="5123" max="5123" width="12.42578125" customWidth="1"/>
    <col min="5124" max="5124" width="15.42578125" customWidth="1"/>
    <col min="5125" max="5125" width="14.140625" customWidth="1"/>
    <col min="5377" max="5377" width="30.42578125" customWidth="1"/>
    <col min="5378" max="5378" width="52.7109375" customWidth="1"/>
    <col min="5379" max="5379" width="12.42578125" customWidth="1"/>
    <col min="5380" max="5380" width="15.42578125" customWidth="1"/>
    <col min="5381" max="5381" width="14.140625" customWidth="1"/>
    <col min="5633" max="5633" width="30.42578125" customWidth="1"/>
    <col min="5634" max="5634" width="52.7109375" customWidth="1"/>
    <col min="5635" max="5635" width="12.42578125" customWidth="1"/>
    <col min="5636" max="5636" width="15.42578125" customWidth="1"/>
    <col min="5637" max="5637" width="14.140625" customWidth="1"/>
    <col min="5889" max="5889" width="30.42578125" customWidth="1"/>
    <col min="5890" max="5890" width="52.7109375" customWidth="1"/>
    <col min="5891" max="5891" width="12.42578125" customWidth="1"/>
    <col min="5892" max="5892" width="15.42578125" customWidth="1"/>
    <col min="5893" max="5893" width="14.140625" customWidth="1"/>
    <col min="6145" max="6145" width="30.42578125" customWidth="1"/>
    <col min="6146" max="6146" width="52.7109375" customWidth="1"/>
    <col min="6147" max="6147" width="12.42578125" customWidth="1"/>
    <col min="6148" max="6148" width="15.42578125" customWidth="1"/>
    <col min="6149" max="6149" width="14.140625" customWidth="1"/>
    <col min="6401" max="6401" width="30.42578125" customWidth="1"/>
    <col min="6402" max="6402" width="52.7109375" customWidth="1"/>
    <col min="6403" max="6403" width="12.42578125" customWidth="1"/>
    <col min="6404" max="6404" width="15.42578125" customWidth="1"/>
    <col min="6405" max="6405" width="14.140625" customWidth="1"/>
    <col min="6657" max="6657" width="30.42578125" customWidth="1"/>
    <col min="6658" max="6658" width="52.7109375" customWidth="1"/>
    <col min="6659" max="6659" width="12.42578125" customWidth="1"/>
    <col min="6660" max="6660" width="15.42578125" customWidth="1"/>
    <col min="6661" max="6661" width="14.140625" customWidth="1"/>
    <col min="6913" max="6913" width="30.42578125" customWidth="1"/>
    <col min="6914" max="6914" width="52.7109375" customWidth="1"/>
    <col min="6915" max="6915" width="12.42578125" customWidth="1"/>
    <col min="6916" max="6916" width="15.42578125" customWidth="1"/>
    <col min="6917" max="6917" width="14.140625" customWidth="1"/>
    <col min="7169" max="7169" width="30.42578125" customWidth="1"/>
    <col min="7170" max="7170" width="52.7109375" customWidth="1"/>
    <col min="7171" max="7171" width="12.42578125" customWidth="1"/>
    <col min="7172" max="7172" width="15.42578125" customWidth="1"/>
    <col min="7173" max="7173" width="14.140625" customWidth="1"/>
    <col min="7425" max="7425" width="30.42578125" customWidth="1"/>
    <col min="7426" max="7426" width="52.7109375" customWidth="1"/>
    <col min="7427" max="7427" width="12.42578125" customWidth="1"/>
    <col min="7428" max="7428" width="15.42578125" customWidth="1"/>
    <col min="7429" max="7429" width="14.140625" customWidth="1"/>
    <col min="7681" max="7681" width="30.42578125" customWidth="1"/>
    <col min="7682" max="7682" width="52.7109375" customWidth="1"/>
    <col min="7683" max="7683" width="12.42578125" customWidth="1"/>
    <col min="7684" max="7684" width="15.42578125" customWidth="1"/>
    <col min="7685" max="7685" width="14.140625" customWidth="1"/>
    <col min="7937" max="7937" width="30.42578125" customWidth="1"/>
    <col min="7938" max="7938" width="52.7109375" customWidth="1"/>
    <col min="7939" max="7939" width="12.42578125" customWidth="1"/>
    <col min="7940" max="7940" width="15.42578125" customWidth="1"/>
    <col min="7941" max="7941" width="14.140625" customWidth="1"/>
    <col min="8193" max="8193" width="30.42578125" customWidth="1"/>
    <col min="8194" max="8194" width="52.7109375" customWidth="1"/>
    <col min="8195" max="8195" width="12.42578125" customWidth="1"/>
    <col min="8196" max="8196" width="15.42578125" customWidth="1"/>
    <col min="8197" max="8197" width="14.140625" customWidth="1"/>
    <col min="8449" max="8449" width="30.42578125" customWidth="1"/>
    <col min="8450" max="8450" width="52.7109375" customWidth="1"/>
    <col min="8451" max="8451" width="12.42578125" customWidth="1"/>
    <col min="8452" max="8452" width="15.42578125" customWidth="1"/>
    <col min="8453" max="8453" width="14.140625" customWidth="1"/>
    <col min="8705" max="8705" width="30.42578125" customWidth="1"/>
    <col min="8706" max="8706" width="52.7109375" customWidth="1"/>
    <col min="8707" max="8707" width="12.42578125" customWidth="1"/>
    <col min="8708" max="8708" width="15.42578125" customWidth="1"/>
    <col min="8709" max="8709" width="14.140625" customWidth="1"/>
    <col min="8961" max="8961" width="30.42578125" customWidth="1"/>
    <col min="8962" max="8962" width="52.7109375" customWidth="1"/>
    <col min="8963" max="8963" width="12.42578125" customWidth="1"/>
    <col min="8964" max="8964" width="15.42578125" customWidth="1"/>
    <col min="8965" max="8965" width="14.140625" customWidth="1"/>
    <col min="9217" max="9217" width="30.42578125" customWidth="1"/>
    <col min="9218" max="9218" width="52.7109375" customWidth="1"/>
    <col min="9219" max="9219" width="12.42578125" customWidth="1"/>
    <col min="9220" max="9220" width="15.42578125" customWidth="1"/>
    <col min="9221" max="9221" width="14.140625" customWidth="1"/>
    <col min="9473" max="9473" width="30.42578125" customWidth="1"/>
    <col min="9474" max="9474" width="52.7109375" customWidth="1"/>
    <col min="9475" max="9475" width="12.42578125" customWidth="1"/>
    <col min="9476" max="9476" width="15.42578125" customWidth="1"/>
    <col min="9477" max="9477" width="14.140625" customWidth="1"/>
    <col min="9729" max="9729" width="30.42578125" customWidth="1"/>
    <col min="9730" max="9730" width="52.7109375" customWidth="1"/>
    <col min="9731" max="9731" width="12.42578125" customWidth="1"/>
    <col min="9732" max="9732" width="15.42578125" customWidth="1"/>
    <col min="9733" max="9733" width="14.140625" customWidth="1"/>
    <col min="9985" max="9985" width="30.42578125" customWidth="1"/>
    <col min="9986" max="9986" width="52.7109375" customWidth="1"/>
    <col min="9987" max="9987" width="12.42578125" customWidth="1"/>
    <col min="9988" max="9988" width="15.42578125" customWidth="1"/>
    <col min="9989" max="9989" width="14.140625" customWidth="1"/>
    <col min="10241" max="10241" width="30.42578125" customWidth="1"/>
    <col min="10242" max="10242" width="52.7109375" customWidth="1"/>
    <col min="10243" max="10243" width="12.42578125" customWidth="1"/>
    <col min="10244" max="10244" width="15.42578125" customWidth="1"/>
    <col min="10245" max="10245" width="14.140625" customWidth="1"/>
    <col min="10497" max="10497" width="30.42578125" customWidth="1"/>
    <col min="10498" max="10498" width="52.7109375" customWidth="1"/>
    <col min="10499" max="10499" width="12.42578125" customWidth="1"/>
    <col min="10500" max="10500" width="15.42578125" customWidth="1"/>
    <col min="10501" max="10501" width="14.140625" customWidth="1"/>
    <col min="10753" max="10753" width="30.42578125" customWidth="1"/>
    <col min="10754" max="10754" width="52.7109375" customWidth="1"/>
    <col min="10755" max="10755" width="12.42578125" customWidth="1"/>
    <col min="10756" max="10756" width="15.42578125" customWidth="1"/>
    <col min="10757" max="10757" width="14.140625" customWidth="1"/>
    <col min="11009" max="11009" width="30.42578125" customWidth="1"/>
    <col min="11010" max="11010" width="52.7109375" customWidth="1"/>
    <col min="11011" max="11011" width="12.42578125" customWidth="1"/>
    <col min="11012" max="11012" width="15.42578125" customWidth="1"/>
    <col min="11013" max="11013" width="14.140625" customWidth="1"/>
    <col min="11265" max="11265" width="30.42578125" customWidth="1"/>
    <col min="11266" max="11266" width="52.7109375" customWidth="1"/>
    <col min="11267" max="11267" width="12.42578125" customWidth="1"/>
    <col min="11268" max="11268" width="15.42578125" customWidth="1"/>
    <col min="11269" max="11269" width="14.140625" customWidth="1"/>
    <col min="11521" max="11521" width="30.42578125" customWidth="1"/>
    <col min="11522" max="11522" width="52.7109375" customWidth="1"/>
    <col min="11523" max="11523" width="12.42578125" customWidth="1"/>
    <col min="11524" max="11524" width="15.42578125" customWidth="1"/>
    <col min="11525" max="11525" width="14.140625" customWidth="1"/>
    <col min="11777" max="11777" width="30.42578125" customWidth="1"/>
    <col min="11778" max="11778" width="52.7109375" customWidth="1"/>
    <col min="11779" max="11779" width="12.42578125" customWidth="1"/>
    <col min="11780" max="11780" width="15.42578125" customWidth="1"/>
    <col min="11781" max="11781" width="14.140625" customWidth="1"/>
    <col min="12033" max="12033" width="30.42578125" customWidth="1"/>
    <col min="12034" max="12034" width="52.7109375" customWidth="1"/>
    <col min="12035" max="12035" width="12.42578125" customWidth="1"/>
    <col min="12036" max="12036" width="15.42578125" customWidth="1"/>
    <col min="12037" max="12037" width="14.140625" customWidth="1"/>
    <col min="12289" max="12289" width="30.42578125" customWidth="1"/>
    <col min="12290" max="12290" width="52.7109375" customWidth="1"/>
    <col min="12291" max="12291" width="12.42578125" customWidth="1"/>
    <col min="12292" max="12292" width="15.42578125" customWidth="1"/>
    <col min="12293" max="12293" width="14.140625" customWidth="1"/>
    <col min="12545" max="12545" width="30.42578125" customWidth="1"/>
    <col min="12546" max="12546" width="52.7109375" customWidth="1"/>
    <col min="12547" max="12547" width="12.42578125" customWidth="1"/>
    <col min="12548" max="12548" width="15.42578125" customWidth="1"/>
    <col min="12549" max="12549" width="14.140625" customWidth="1"/>
    <col min="12801" max="12801" width="30.42578125" customWidth="1"/>
    <col min="12802" max="12802" width="52.7109375" customWidth="1"/>
    <col min="12803" max="12803" width="12.42578125" customWidth="1"/>
    <col min="12804" max="12804" width="15.42578125" customWidth="1"/>
    <col min="12805" max="12805" width="14.140625" customWidth="1"/>
    <col min="13057" max="13057" width="30.42578125" customWidth="1"/>
    <col min="13058" max="13058" width="52.7109375" customWidth="1"/>
    <col min="13059" max="13059" width="12.42578125" customWidth="1"/>
    <col min="13060" max="13060" width="15.42578125" customWidth="1"/>
    <col min="13061" max="13061" width="14.140625" customWidth="1"/>
    <col min="13313" max="13313" width="30.42578125" customWidth="1"/>
    <col min="13314" max="13314" width="52.7109375" customWidth="1"/>
    <col min="13315" max="13315" width="12.42578125" customWidth="1"/>
    <col min="13316" max="13316" width="15.42578125" customWidth="1"/>
    <col min="13317" max="13317" width="14.140625" customWidth="1"/>
    <col min="13569" max="13569" width="30.42578125" customWidth="1"/>
    <col min="13570" max="13570" width="52.7109375" customWidth="1"/>
    <col min="13571" max="13571" width="12.42578125" customWidth="1"/>
    <col min="13572" max="13572" width="15.42578125" customWidth="1"/>
    <col min="13573" max="13573" width="14.140625" customWidth="1"/>
    <col min="13825" max="13825" width="30.42578125" customWidth="1"/>
    <col min="13826" max="13826" width="52.7109375" customWidth="1"/>
    <col min="13827" max="13827" width="12.42578125" customWidth="1"/>
    <col min="13828" max="13828" width="15.42578125" customWidth="1"/>
    <col min="13829" max="13829" width="14.140625" customWidth="1"/>
    <col min="14081" max="14081" width="30.42578125" customWidth="1"/>
    <col min="14082" max="14082" width="52.7109375" customWidth="1"/>
    <col min="14083" max="14083" width="12.42578125" customWidth="1"/>
    <col min="14084" max="14084" width="15.42578125" customWidth="1"/>
    <col min="14085" max="14085" width="14.140625" customWidth="1"/>
    <col min="14337" max="14337" width="30.42578125" customWidth="1"/>
    <col min="14338" max="14338" width="52.7109375" customWidth="1"/>
    <col min="14339" max="14339" width="12.42578125" customWidth="1"/>
    <col min="14340" max="14340" width="15.42578125" customWidth="1"/>
    <col min="14341" max="14341" width="14.140625" customWidth="1"/>
    <col min="14593" max="14593" width="30.42578125" customWidth="1"/>
    <col min="14594" max="14594" width="52.7109375" customWidth="1"/>
    <col min="14595" max="14595" width="12.42578125" customWidth="1"/>
    <col min="14596" max="14596" width="15.42578125" customWidth="1"/>
    <col min="14597" max="14597" width="14.140625" customWidth="1"/>
    <col min="14849" max="14849" width="30.42578125" customWidth="1"/>
    <col min="14850" max="14850" width="52.7109375" customWidth="1"/>
    <col min="14851" max="14851" width="12.42578125" customWidth="1"/>
    <col min="14852" max="14852" width="15.42578125" customWidth="1"/>
    <col min="14853" max="14853" width="14.140625" customWidth="1"/>
    <col min="15105" max="15105" width="30.42578125" customWidth="1"/>
    <col min="15106" max="15106" width="52.7109375" customWidth="1"/>
    <col min="15107" max="15107" width="12.42578125" customWidth="1"/>
    <col min="15108" max="15108" width="15.42578125" customWidth="1"/>
    <col min="15109" max="15109" width="14.140625" customWidth="1"/>
    <col min="15361" max="15361" width="30.42578125" customWidth="1"/>
    <col min="15362" max="15362" width="52.7109375" customWidth="1"/>
    <col min="15363" max="15363" width="12.42578125" customWidth="1"/>
    <col min="15364" max="15364" width="15.42578125" customWidth="1"/>
    <col min="15365" max="15365" width="14.140625" customWidth="1"/>
    <col min="15617" max="15617" width="30.42578125" customWidth="1"/>
    <col min="15618" max="15618" width="52.7109375" customWidth="1"/>
    <col min="15619" max="15619" width="12.42578125" customWidth="1"/>
    <col min="15620" max="15620" width="15.42578125" customWidth="1"/>
    <col min="15621" max="15621" width="14.140625" customWidth="1"/>
    <col min="15873" max="15873" width="30.42578125" customWidth="1"/>
    <col min="15874" max="15874" width="52.7109375" customWidth="1"/>
    <col min="15875" max="15875" width="12.42578125" customWidth="1"/>
    <col min="15876" max="15876" width="15.42578125" customWidth="1"/>
    <col min="15877" max="15877" width="14.140625" customWidth="1"/>
    <col min="16129" max="16129" width="30.42578125" customWidth="1"/>
    <col min="16130" max="16130" width="52.7109375" customWidth="1"/>
    <col min="16131" max="16131" width="12.42578125" customWidth="1"/>
    <col min="16132" max="16132" width="15.42578125" customWidth="1"/>
    <col min="16133" max="16133" width="14.140625" customWidth="1"/>
  </cols>
  <sheetData>
    <row r="1" spans="1:7" ht="15" x14ac:dyDescent="0.25">
      <c r="A1" s="220" t="s">
        <v>817</v>
      </c>
      <c r="B1" s="220"/>
      <c r="C1" s="220"/>
      <c r="D1" s="220"/>
      <c r="E1" s="220"/>
    </row>
    <row r="2" spans="1:7" ht="15" x14ac:dyDescent="0.25">
      <c r="A2" s="220" t="s">
        <v>833</v>
      </c>
      <c r="B2" s="220"/>
      <c r="C2" s="220"/>
      <c r="D2" s="220"/>
      <c r="E2" s="220"/>
    </row>
    <row r="3" spans="1:7" ht="15" x14ac:dyDescent="0.25">
      <c r="A3" s="220" t="s">
        <v>832</v>
      </c>
      <c r="B3" s="220"/>
      <c r="C3" s="220"/>
      <c r="D3" s="220"/>
      <c r="E3" s="220"/>
    </row>
    <row r="4" spans="1:7" ht="15" x14ac:dyDescent="0.25">
      <c r="A4" s="154"/>
      <c r="B4" s="154"/>
      <c r="C4" s="154"/>
      <c r="D4" s="154"/>
      <c r="E4" s="154"/>
    </row>
    <row r="5" spans="1:7" ht="15.75" x14ac:dyDescent="0.25">
      <c r="A5" s="218" t="s">
        <v>580</v>
      </c>
      <c r="B5" s="218"/>
      <c r="C5" s="218"/>
      <c r="D5" s="218"/>
      <c r="E5" s="218"/>
    </row>
    <row r="6" spans="1:7" ht="15.75" x14ac:dyDescent="0.2">
      <c r="A6" s="226" t="s">
        <v>818</v>
      </c>
      <c r="B6" s="226"/>
      <c r="C6" s="226"/>
      <c r="D6" s="226"/>
      <c r="E6" s="226"/>
    </row>
    <row r="7" spans="1:7" ht="15.75" x14ac:dyDescent="0.25">
      <c r="A7" s="218" t="s">
        <v>640</v>
      </c>
      <c r="B7" s="218"/>
      <c r="C7" s="218"/>
      <c r="D7" s="218"/>
      <c r="E7" s="218"/>
    </row>
    <row r="8" spans="1:7" x14ac:dyDescent="0.2">
      <c r="A8" s="221" t="s">
        <v>581</v>
      </c>
      <c r="B8" s="221"/>
      <c r="C8" s="221"/>
      <c r="D8" s="221"/>
      <c r="E8" s="221"/>
    </row>
    <row r="9" spans="1:7" ht="52.5" x14ac:dyDescent="0.2">
      <c r="A9" s="155" t="s">
        <v>579</v>
      </c>
      <c r="B9" s="3" t="s">
        <v>550</v>
      </c>
      <c r="C9" s="3" t="s">
        <v>819</v>
      </c>
      <c r="D9" s="155" t="s">
        <v>636</v>
      </c>
      <c r="E9" s="7" t="s">
        <v>637</v>
      </c>
    </row>
    <row r="10" spans="1:7" ht="15.75" x14ac:dyDescent="0.25">
      <c r="A10" s="155"/>
      <c r="B10" s="199" t="s">
        <v>767</v>
      </c>
      <c r="C10" s="200">
        <v>610</v>
      </c>
      <c r="D10" s="155"/>
      <c r="E10" s="155"/>
      <c r="F10" s="154"/>
      <c r="G10" s="154"/>
    </row>
    <row r="11" spans="1:7" ht="32.25" customHeight="1" x14ac:dyDescent="0.25">
      <c r="A11" s="19" t="s">
        <v>551</v>
      </c>
      <c r="B11" s="20" t="s">
        <v>200</v>
      </c>
      <c r="C11" s="153">
        <v>610</v>
      </c>
      <c r="D11" s="108">
        <f>D12+D17+D23+D28</f>
        <v>93851.379330000142</v>
      </c>
      <c r="E11" s="108">
        <f>E12+E17+E23+E28</f>
        <v>-126857.41879000049</v>
      </c>
      <c r="F11" s="154"/>
      <c r="G11" s="154"/>
    </row>
    <row r="12" spans="1:7" ht="31.5" x14ac:dyDescent="0.25">
      <c r="A12" s="11" t="s">
        <v>552</v>
      </c>
      <c r="B12" s="5" t="s">
        <v>539</v>
      </c>
      <c r="C12" s="150">
        <v>610</v>
      </c>
      <c r="D12" s="201">
        <f>D13+D15</f>
        <v>63397.517290000105</v>
      </c>
      <c r="E12" s="201">
        <f>E13+E15</f>
        <v>-9000</v>
      </c>
      <c r="F12" s="154"/>
      <c r="G12" s="154"/>
    </row>
    <row r="13" spans="1:7" ht="31.5" x14ac:dyDescent="0.25">
      <c r="A13" s="12" t="s">
        <v>553</v>
      </c>
      <c r="B13" s="21" t="s">
        <v>201</v>
      </c>
      <c r="C13" s="151">
        <v>610</v>
      </c>
      <c r="D13" s="107">
        <f>D14</f>
        <v>1233206.5172900001</v>
      </c>
      <c r="E13" s="107">
        <f>E14</f>
        <v>1160809</v>
      </c>
      <c r="F13" s="154"/>
      <c r="G13" s="154"/>
    </row>
    <row r="14" spans="1:7" ht="47.25" x14ac:dyDescent="0.25">
      <c r="A14" s="12" t="s">
        <v>554</v>
      </c>
      <c r="B14" s="21" t="s">
        <v>199</v>
      </c>
      <c r="C14" s="151">
        <v>610</v>
      </c>
      <c r="D14" s="107">
        <v>1233206.5172900001</v>
      </c>
      <c r="E14" s="107">
        <v>1160809</v>
      </c>
      <c r="F14" s="154"/>
      <c r="G14" s="154"/>
    </row>
    <row r="15" spans="1:7" ht="37.5" customHeight="1" x14ac:dyDescent="0.2">
      <c r="A15" s="12" t="s">
        <v>555</v>
      </c>
      <c r="B15" s="21" t="s">
        <v>202</v>
      </c>
      <c r="C15" s="151">
        <v>610</v>
      </c>
      <c r="D15" s="107">
        <f>D16</f>
        <v>-1169809</v>
      </c>
      <c r="E15" s="107">
        <f>E16</f>
        <v>-1169809</v>
      </c>
      <c r="F15" s="198"/>
      <c r="G15" s="198"/>
    </row>
    <row r="16" spans="1:7" ht="47.25" x14ac:dyDescent="0.2">
      <c r="A16" s="12" t="s">
        <v>556</v>
      </c>
      <c r="B16" s="21" t="s">
        <v>203</v>
      </c>
      <c r="C16" s="151">
        <v>610</v>
      </c>
      <c r="D16" s="107">
        <v>-1169809</v>
      </c>
      <c r="E16" s="107">
        <v>-1169809</v>
      </c>
      <c r="F16" s="198"/>
      <c r="G16" s="198"/>
    </row>
    <row r="17" spans="1:13" ht="37.5" customHeight="1" x14ac:dyDescent="0.2">
      <c r="A17" s="11" t="s">
        <v>557</v>
      </c>
      <c r="B17" s="5" t="s">
        <v>289</v>
      </c>
      <c r="C17" s="150">
        <v>610</v>
      </c>
      <c r="D17" s="201">
        <f>D18+D20</f>
        <v>-10000</v>
      </c>
      <c r="E17" s="201">
        <f>E18+E20</f>
        <v>-10000</v>
      </c>
      <c r="F17" s="198"/>
      <c r="G17" s="198"/>
    </row>
    <row r="18" spans="1:13" ht="49.5" customHeight="1" x14ac:dyDescent="0.2">
      <c r="A18" s="10" t="s">
        <v>286</v>
      </c>
      <c r="B18" s="76" t="s">
        <v>372</v>
      </c>
      <c r="C18" s="164" t="s">
        <v>536</v>
      </c>
      <c r="D18" s="107">
        <f>D19</f>
        <v>233192</v>
      </c>
      <c r="E18" s="107">
        <f>E19</f>
        <v>233192</v>
      </c>
      <c r="F18" s="198"/>
      <c r="G18" s="198"/>
    </row>
    <row r="19" spans="1:13" ht="54" customHeight="1" x14ac:dyDescent="0.2">
      <c r="A19" s="10" t="s">
        <v>285</v>
      </c>
      <c r="B19" s="76" t="s">
        <v>373</v>
      </c>
      <c r="C19" s="164" t="s">
        <v>536</v>
      </c>
      <c r="D19" s="107">
        <v>233192</v>
      </c>
      <c r="E19" s="107">
        <v>233192</v>
      </c>
      <c r="F19" s="198"/>
      <c r="G19" s="198"/>
    </row>
    <row r="20" spans="1:13" ht="49.5" customHeight="1" x14ac:dyDescent="0.2">
      <c r="A20" s="12" t="s">
        <v>287</v>
      </c>
      <c r="B20" s="76" t="s">
        <v>375</v>
      </c>
      <c r="C20" s="164" t="s">
        <v>536</v>
      </c>
      <c r="D20" s="107">
        <f>D21</f>
        <v>-243192</v>
      </c>
      <c r="E20" s="107">
        <f>E21</f>
        <v>-243192</v>
      </c>
      <c r="F20" s="198"/>
      <c r="G20" s="198"/>
    </row>
    <row r="21" spans="1:13" ht="65.25" customHeight="1" x14ac:dyDescent="0.2">
      <c r="A21" s="12" t="s">
        <v>288</v>
      </c>
      <c r="B21" s="76" t="s">
        <v>376</v>
      </c>
      <c r="C21" s="164" t="s">
        <v>536</v>
      </c>
      <c r="D21" s="107">
        <v>-243192</v>
      </c>
      <c r="E21" s="107">
        <v>-243192</v>
      </c>
      <c r="F21" s="198"/>
      <c r="G21" s="198"/>
    </row>
    <row r="22" spans="1:13" ht="15.75" x14ac:dyDescent="0.2">
      <c r="A22" s="12"/>
      <c r="B22" s="199" t="s">
        <v>820</v>
      </c>
      <c r="C22" s="200">
        <v>611</v>
      </c>
      <c r="D22" s="202"/>
      <c r="E22" s="202"/>
      <c r="F22" s="198"/>
      <c r="G22" s="198"/>
    </row>
    <row r="23" spans="1:13" ht="31.5" x14ac:dyDescent="0.2">
      <c r="A23" s="11" t="s">
        <v>477</v>
      </c>
      <c r="B23" s="29" t="s">
        <v>234</v>
      </c>
      <c r="C23" s="150">
        <v>611</v>
      </c>
      <c r="D23" s="201">
        <f t="shared" ref="D23:E25" si="0">D24</f>
        <v>10000</v>
      </c>
      <c r="E23" s="201">
        <f t="shared" si="0"/>
        <v>0</v>
      </c>
      <c r="F23" s="198"/>
      <c r="G23" s="198"/>
    </row>
    <row r="24" spans="1:13" ht="47.25" x14ac:dyDescent="0.2">
      <c r="A24" s="12" t="s">
        <v>478</v>
      </c>
      <c r="B24" s="21" t="s">
        <v>479</v>
      </c>
      <c r="C24" s="151">
        <v>611</v>
      </c>
      <c r="D24" s="107">
        <f t="shared" si="0"/>
        <v>10000</v>
      </c>
      <c r="E24" s="107">
        <f t="shared" si="0"/>
        <v>0</v>
      </c>
      <c r="F24" s="198"/>
      <c r="G24" s="198"/>
    </row>
    <row r="25" spans="1:13" ht="47.25" x14ac:dyDescent="0.2">
      <c r="A25" s="12" t="s">
        <v>480</v>
      </c>
      <c r="B25" s="21" t="s">
        <v>481</v>
      </c>
      <c r="C25" s="151">
        <v>611</v>
      </c>
      <c r="D25" s="107">
        <f t="shared" si="0"/>
        <v>10000</v>
      </c>
      <c r="E25" s="107">
        <f t="shared" si="0"/>
        <v>0</v>
      </c>
      <c r="F25" s="198"/>
      <c r="G25" s="198"/>
    </row>
    <row r="26" spans="1:13" ht="47.25" x14ac:dyDescent="0.2">
      <c r="A26" s="12" t="s">
        <v>482</v>
      </c>
      <c r="B26" s="21" t="s">
        <v>483</v>
      </c>
      <c r="C26" s="151">
        <v>611</v>
      </c>
      <c r="D26" s="107">
        <v>10000</v>
      </c>
      <c r="E26" s="107">
        <v>0</v>
      </c>
      <c r="F26" s="198"/>
      <c r="G26" s="198"/>
      <c r="H26" s="198"/>
      <c r="I26" s="198"/>
      <c r="J26" s="198"/>
      <c r="K26" s="198"/>
      <c r="L26" s="198"/>
      <c r="M26" s="198"/>
    </row>
    <row r="27" spans="1:13" ht="15.75" x14ac:dyDescent="0.2">
      <c r="A27" s="12"/>
      <c r="B27" s="199" t="s">
        <v>767</v>
      </c>
      <c r="C27" s="200">
        <v>610</v>
      </c>
      <c r="D27" s="202"/>
      <c r="E27" s="202"/>
      <c r="F27" s="198"/>
      <c r="G27" s="198"/>
      <c r="H27" s="198"/>
      <c r="I27" s="198"/>
      <c r="J27" s="198"/>
      <c r="K27" s="198"/>
      <c r="L27" s="198"/>
      <c r="M27" s="198"/>
    </row>
    <row r="28" spans="1:13" ht="31.5" x14ac:dyDescent="0.25">
      <c r="A28" s="8" t="s">
        <v>558</v>
      </c>
      <c r="B28" s="109" t="s">
        <v>559</v>
      </c>
      <c r="C28" s="203">
        <v>610</v>
      </c>
      <c r="D28" s="110">
        <f>D29+D33</f>
        <v>30453.862040000036</v>
      </c>
      <c r="E28" s="110">
        <f>E29+E33</f>
        <v>-107857.41879000049</v>
      </c>
      <c r="F28" s="204"/>
      <c r="G28" s="204"/>
      <c r="H28" s="204"/>
      <c r="I28" s="204"/>
      <c r="J28" s="204"/>
      <c r="K28" s="204"/>
      <c r="L28" s="204"/>
      <c r="M28" s="204"/>
    </row>
    <row r="29" spans="1:13" ht="15.75" x14ac:dyDescent="0.2">
      <c r="A29" s="75" t="s">
        <v>269</v>
      </c>
      <c r="B29" s="111" t="s">
        <v>270</v>
      </c>
      <c r="C29" s="167">
        <v>610</v>
      </c>
      <c r="D29" s="112">
        <f t="shared" ref="D29:E31" si="1">D30</f>
        <v>-6766718.0618700003</v>
      </c>
      <c r="E29" s="112">
        <f t="shared" si="1"/>
        <v>-6631310.6723600002</v>
      </c>
    </row>
    <row r="30" spans="1:13" ht="15.75" x14ac:dyDescent="0.2">
      <c r="A30" s="75" t="s">
        <v>271</v>
      </c>
      <c r="B30" s="111" t="s">
        <v>272</v>
      </c>
      <c r="C30" s="167">
        <v>610</v>
      </c>
      <c r="D30" s="112">
        <f t="shared" si="1"/>
        <v>-6766718.0618700003</v>
      </c>
      <c r="E30" s="112">
        <f t="shared" si="1"/>
        <v>-6631310.6723600002</v>
      </c>
      <c r="F30" s="198"/>
      <c r="G30" s="198"/>
      <c r="H30" s="198"/>
      <c r="I30" s="198"/>
      <c r="J30" s="198"/>
      <c r="K30" s="198"/>
      <c r="L30" s="198"/>
      <c r="M30" s="198"/>
    </row>
    <row r="31" spans="1:13" ht="31.5" x14ac:dyDescent="0.2">
      <c r="A31" s="75" t="s">
        <v>273</v>
      </c>
      <c r="B31" s="111" t="s">
        <v>274</v>
      </c>
      <c r="C31" s="167">
        <v>610</v>
      </c>
      <c r="D31" s="112">
        <f t="shared" si="1"/>
        <v>-6766718.0618700003</v>
      </c>
      <c r="E31" s="112">
        <f t="shared" si="1"/>
        <v>-6631310.6723600002</v>
      </c>
    </row>
    <row r="32" spans="1:13" ht="31.5" x14ac:dyDescent="0.2">
      <c r="A32" s="75" t="s">
        <v>275</v>
      </c>
      <c r="B32" s="111" t="s">
        <v>276</v>
      </c>
      <c r="C32" s="167">
        <v>610</v>
      </c>
      <c r="D32" s="112">
        <v>-6766718.0618700003</v>
      </c>
      <c r="E32" s="112">
        <f>-6587131.50236-44179.17</f>
        <v>-6631310.6723600002</v>
      </c>
    </row>
    <row r="33" spans="1:5" ht="15.75" x14ac:dyDescent="0.2">
      <c r="A33" s="75" t="s">
        <v>277</v>
      </c>
      <c r="B33" s="111" t="s">
        <v>278</v>
      </c>
      <c r="C33" s="167">
        <v>610</v>
      </c>
      <c r="D33" s="112">
        <f t="shared" ref="D33:E35" si="2">D34</f>
        <v>6797171.9239100004</v>
      </c>
      <c r="E33" s="112">
        <f t="shared" si="2"/>
        <v>6523453.2535699997</v>
      </c>
    </row>
    <row r="34" spans="1:5" ht="15.75" x14ac:dyDescent="0.2">
      <c r="A34" s="75" t="s">
        <v>279</v>
      </c>
      <c r="B34" s="111" t="s">
        <v>280</v>
      </c>
      <c r="C34" s="167">
        <v>610</v>
      </c>
      <c r="D34" s="112">
        <f t="shared" si="2"/>
        <v>6797171.9239100004</v>
      </c>
      <c r="E34" s="112">
        <f t="shared" si="2"/>
        <v>6523453.2535699997</v>
      </c>
    </row>
    <row r="35" spans="1:5" ht="31.5" x14ac:dyDescent="0.2">
      <c r="A35" s="75" t="s">
        <v>281</v>
      </c>
      <c r="B35" s="111" t="s">
        <v>282</v>
      </c>
      <c r="C35" s="167">
        <v>610</v>
      </c>
      <c r="D35" s="112">
        <f t="shared" si="2"/>
        <v>6797171.9239100004</v>
      </c>
      <c r="E35" s="112">
        <f t="shared" si="2"/>
        <v>6523453.2535699997</v>
      </c>
    </row>
    <row r="36" spans="1:5" ht="31.5" x14ac:dyDescent="0.2">
      <c r="A36" s="75" t="s">
        <v>283</v>
      </c>
      <c r="B36" s="111" t="s">
        <v>284</v>
      </c>
      <c r="C36" s="167">
        <v>610</v>
      </c>
      <c r="D36" s="112">
        <v>6797171.9239100004</v>
      </c>
      <c r="E36" s="112">
        <v>6523453.2535699997</v>
      </c>
    </row>
    <row r="37" spans="1:5" ht="15.75" x14ac:dyDescent="0.2">
      <c r="A37" s="90"/>
      <c r="B37" s="91"/>
      <c r="C37" s="91"/>
      <c r="D37" s="92"/>
      <c r="E37" s="92"/>
    </row>
    <row r="38" spans="1:5" ht="30.75" customHeight="1" x14ac:dyDescent="0.25">
      <c r="A38" s="225"/>
      <c r="B38" s="225"/>
      <c r="C38" s="225"/>
      <c r="D38" s="225"/>
      <c r="E38" s="225"/>
    </row>
    <row r="39" spans="1:5" x14ac:dyDescent="0.2">
      <c r="A39" s="4"/>
      <c r="B39" s="4"/>
      <c r="C39" s="4"/>
      <c r="D39" s="18"/>
      <c r="E39" s="18"/>
    </row>
    <row r="40" spans="1:5" x14ac:dyDescent="0.2">
      <c r="A40" s="4"/>
      <c r="B40" s="4"/>
      <c r="C40" s="4"/>
      <c r="D40" s="18"/>
      <c r="E40" s="18"/>
    </row>
    <row r="41" spans="1:5" x14ac:dyDescent="0.2">
      <c r="A41" s="4"/>
      <c r="B41" s="4"/>
      <c r="C41" s="4"/>
      <c r="D41" s="18"/>
      <c r="E41" s="18"/>
    </row>
    <row r="42" spans="1:5" x14ac:dyDescent="0.2">
      <c r="A42" s="4"/>
      <c r="B42" s="4"/>
      <c r="C42" s="4"/>
      <c r="D42" s="18"/>
      <c r="E42" s="18"/>
    </row>
    <row r="43" spans="1:5" x14ac:dyDescent="0.2">
      <c r="A43" s="4"/>
      <c r="B43" s="4"/>
      <c r="C43" s="4"/>
      <c r="D43" s="18"/>
      <c r="E43" s="18"/>
    </row>
    <row r="44" spans="1:5" x14ac:dyDescent="0.2">
      <c r="A44" s="4"/>
      <c r="B44" s="4"/>
      <c r="C44" s="4"/>
      <c r="D44" s="18"/>
      <c r="E44" s="18"/>
    </row>
    <row r="45" spans="1:5" x14ac:dyDescent="0.2">
      <c r="A45" s="4"/>
      <c r="B45" s="4"/>
      <c r="C45" s="4"/>
      <c r="D45" s="18"/>
      <c r="E45" s="18"/>
    </row>
    <row r="46" spans="1:5" x14ac:dyDescent="0.2">
      <c r="D46" s="13"/>
      <c r="E46" s="13"/>
    </row>
    <row r="47" spans="1:5" x14ac:dyDescent="0.2">
      <c r="D47" s="13"/>
      <c r="E47" s="13"/>
    </row>
    <row r="48" spans="1:5" x14ac:dyDescent="0.2">
      <c r="D48" s="13"/>
      <c r="E48" s="13"/>
    </row>
  </sheetData>
  <mergeCells count="8">
    <mergeCell ref="A8:E8"/>
    <mergeCell ref="A38:E38"/>
    <mergeCell ref="A1:E1"/>
    <mergeCell ref="A2:E2"/>
    <mergeCell ref="A3:E3"/>
    <mergeCell ref="A5:E5"/>
    <mergeCell ref="A6:E6"/>
    <mergeCell ref="A7:E7"/>
  </mergeCells>
  <pageMargins left="0.39370078740157483" right="0.39370078740157483" top="0.39370078740157483" bottom="0.39370078740157483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ДОХОДЫ АДМ</vt:lpstr>
      <vt:lpstr> Ведомственная 2019   </vt:lpstr>
      <vt:lpstr>Расходы 2019</vt:lpstr>
      <vt:lpstr>Источники АДМ</vt:lpstr>
      <vt:lpstr>' Ведомственная 2019   '!Заголовки_для_печати</vt:lpstr>
      <vt:lpstr>'Расходы 2019'!Заголовки_для_печати</vt:lpstr>
      <vt:lpstr>' Ведомственная 2019   '!Область_печати</vt:lpstr>
      <vt:lpstr>'Расходы 2019'!Область_печати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Мадина Калабекова</cp:lastModifiedBy>
  <cp:lastPrinted>2020-03-16T06:25:56Z</cp:lastPrinted>
  <dcterms:created xsi:type="dcterms:W3CDTF">2010-10-28T10:47:01Z</dcterms:created>
  <dcterms:modified xsi:type="dcterms:W3CDTF">2020-06-30T07:29:15Z</dcterms:modified>
</cp:coreProperties>
</file>